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2.xml" ContentType="application/vnd.openxmlformats-officedocument.drawing+xml"/>
  <Override PartName="/xl/worksheets/sheet28.xml" ContentType="application/vnd.openxmlformats-officedocument.spreadsheetml.worksheet+xml"/>
  <Override PartName="/xl/comments28.xml" ContentType="application/vnd.openxmlformats-officedocument.spreadsheetml.comments+xml"/>
  <Override PartName="/xl/drawings/drawing1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14.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34"/>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1" sheetId="13" r:id="rId13"/>
    <sheet name="PT 01" sheetId="14" r:id="rId14"/>
    <sheet name="02" sheetId="15" r:id="rId15"/>
    <sheet name="PT02" sheetId="16" r:id="rId16"/>
    <sheet name="03" sheetId="17" r:id="rId17"/>
    <sheet name="PT03" sheetId="18" r:id="rId18"/>
    <sheet name="04" sheetId="19" r:id="rId19"/>
    <sheet name="PT04" sheetId="20" r:id="rId20"/>
    <sheet name="05" sheetId="21" r:id="rId21"/>
    <sheet name="06" sheetId="22" r:id="rId22"/>
    <sheet name="07" sheetId="23" r:id="rId23"/>
    <sheet name="08" sheetId="24" r:id="rId24"/>
    <sheet name="09" sheetId="25" r:id="rId25"/>
    <sheet name="10" sheetId="26" r:id="rId26"/>
    <sheet name="11" sheetId="27" r:id="rId27"/>
    <sheet name="12" sheetId="28" r:id="rId28"/>
    <sheet name="13" sheetId="29" r:id="rId29"/>
    <sheet name="14" sheetId="30" r:id="rId30"/>
    <sheet name="15" sheetId="31" r:id="rId31"/>
    <sheet name="16" sheetId="32" r:id="rId32"/>
    <sheet name="17" sheetId="33" r:id="rId33"/>
    <sheet name="18" sheetId="34" r:id="rId34"/>
    <sheet name="19" sheetId="35" r:id="rId35"/>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_xlfn.COUNTIFS" hidden="1">#NAME?</definedName>
    <definedName name="_xlfn.SUMIFS" hidden="1">#NAME?</definedName>
    <definedName name="Nguyennhan" localSheetId="23">'[8]Nguyen_nhan'!$B$3:$B$16</definedName>
    <definedName name="Nguyennhan" localSheetId="24">'[8]Nguyen_nhan'!$B$3:$B$16</definedName>
    <definedName name="Nguyennhan" localSheetId="25">'[8]Nguyen_nhan'!$B$3:$B$16</definedName>
    <definedName name="Nguyennhan" localSheetId="26">'[8]Nguyen_nhan'!$B$3:$B$16</definedName>
    <definedName name="Nguyennhan" localSheetId="27">'[8]Nguyen_nhan'!$B$3:$B$16</definedName>
    <definedName name="Nguyennhan" localSheetId="28">'[8]Nguyen_nhan'!$B$3:$B$16</definedName>
    <definedName name="Nguyennhan" localSheetId="29">'[8]Nguyen_nhan'!$B$3:$B$16</definedName>
    <definedName name="Nguyennhan" localSheetId="30">'[8]Nguyen_nhan'!$B$3:$B$16</definedName>
    <definedName name="Nguyennhan" localSheetId="31">'[8]Nguyen_nhan'!$B$3:$B$16</definedName>
    <definedName name="Nguyennhan" localSheetId="32">'[8]Nguyen_nhan'!$B$3:$B$16</definedName>
    <definedName name="Nguyennhan" localSheetId="33">'[8]Nguyen_nhan'!$B$3:$B$16</definedName>
    <definedName name="Nguyennhan" localSheetId="34">'[8]Nguyen_nhan'!$B$3:$B$16</definedName>
    <definedName name="Nguyennhan">'[1]Nguyen_nhan'!$B$3:$B$16</definedName>
    <definedName name="_xlnm.Print_Area" localSheetId="12">'01'!$A$1:$N$26</definedName>
    <definedName name="_xlnm.Print_Area" localSheetId="14">'02'!$A$1:$O$26</definedName>
    <definedName name="_xlnm.Print_Area" localSheetId="16">'03'!$A$1:$N$27</definedName>
    <definedName name="_xlnm.Print_Area" localSheetId="18">'04'!$A$1:$O$26</definedName>
    <definedName name="_xlnm.Print_Area" localSheetId="21">'06'!$A$1:$S$121</definedName>
    <definedName name="_xlnm.Print_Area" localSheetId="22">'07'!$A$1:$T$121</definedName>
    <definedName name="_xlnm.Print_Area" localSheetId="23">'08'!$A$1:$N$35</definedName>
    <definedName name="_xlnm.Print_Area" localSheetId="26">'11'!$A$1:$U$36</definedName>
    <definedName name="_xlnm.Print_Area" localSheetId="1">'Mãu BC mien giam 8'!$A$1:$N$36</definedName>
    <definedName name="_xlnm.Print_Area" localSheetId="15">'PT02'!$A$1:$C$40</definedName>
    <definedName name="_xlnm.Print_Area" localSheetId="19">'PT04'!$A$1:$C$41</definedName>
    <definedName name="_xlnm.Print_Titles" localSheetId="21">'06'!$6:$10</definedName>
    <definedName name="_xlnm.Print_Titles" localSheetId="22">'07'!$6:$10</definedName>
    <definedName name="_xlnm.Print_Titles" localSheetId="24">'09'!$6:$10</definedName>
    <definedName name="_xlnm.Print_Titles" localSheetId="25">'10'!$6:$10</definedName>
    <definedName name="_xlnm.Print_Titles" localSheetId="10">'bieu lay so lieu bc viet'!$6:$11</definedName>
    <definedName name="TCTD" localSheetId="23">#REF!</definedName>
    <definedName name="TCTD" localSheetId="24">#REF!</definedName>
    <definedName name="TCTD" localSheetId="25">#REF!</definedName>
    <definedName name="TCTD" localSheetId="26">#REF!</definedName>
    <definedName name="TCTD" localSheetId="27">#REF!</definedName>
    <definedName name="TCTD" localSheetId="28">#REF!</definedName>
    <definedName name="TCTD" localSheetId="29">#REF!</definedName>
    <definedName name="TCTD" localSheetId="30">#REF!</definedName>
    <definedName name="TCTD" localSheetId="31">#REF!</definedName>
    <definedName name="TCTD" localSheetId="32">#REF!</definedName>
    <definedName name="TCTD" localSheetId="33">#REF!</definedName>
    <definedName name="TCTD" localSheetId="34">#REF!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28.xml><?xml version="1.0" encoding="utf-8"?>
<comments xmlns="http://schemas.openxmlformats.org/spreadsheetml/2006/main">
  <authors>
    <author>GiadinhBaCuc</author>
  </authors>
  <commentLis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<sst xmlns="http://schemas.openxmlformats.org/spreadsheetml/2006/main" count="3929" uniqueCount="867">
  <si>
    <t>I</t>
  </si>
  <si>
    <t>II</t>
  </si>
  <si>
    <t xml:space="preserve">Tổng số
</t>
  </si>
  <si>
    <t>Số việc</t>
  </si>
  <si>
    <t>NGƯỜI LẬP BIỂU</t>
  </si>
  <si>
    <t xml:space="preserve">A
</t>
  </si>
  <si>
    <t>A</t>
  </si>
  <si>
    <t>Chia ra:</t>
  </si>
  <si>
    <t>Đơn vị tính: Việc</t>
  </si>
  <si>
    <t>III</t>
  </si>
  <si>
    <t>Số tiền</t>
  </si>
  <si>
    <t>……tháng/năm ……..</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</si>
  <si>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</si>
  <si>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</si>
  <si>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</si>
  <si>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</si>
  <si>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</si>
  <si>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</si>
  <si>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</si>
  <si>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</si>
  <si>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</si>
  <si>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</si>
  <si>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</si>
  <si>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</si>
  <si>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</si>
  <si>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</si>
  <si>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</si>
  <si>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</si>
  <si>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</si>
  <si>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</si>
  <si>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</si>
  <si>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</si>
  <si>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</si>
  <si>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</si>
  <si>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</si>
  <si>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</si>
  <si>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</si>
  <si>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</si>
  <si>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</si>
  <si>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</si>
  <si>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</si>
  <si>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</si>
  <si>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</si>
  <si>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</si>
  <si>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</si>
  <si>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</si>
  <si>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</si>
  <si>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</si>
  <si>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</si>
  <si>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</si>
  <si>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Biểu này được dùng chung cho Chấp hành viên, Chi cục Thi hành án dân sự và Cục Thi hành án dân sự;</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</si>
  <si>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</si>
  <si>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</si>
  <si>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</si>
  <si>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</si>
  <si>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</si>
  <si>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</si>
  <si>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</si>
  <si>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</si>
  <si>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</si>
  <si>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</si>
  <si>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</si>
  <si>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Đối với việc ủy thác thi hành án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</si>
  <si>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</si>
  <si>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</si>
  <si>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</si>
  <si>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</si>
  <si>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</si>
  <si>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</si>
  <si>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</si>
  <si>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</si>
  <si>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</si>
  <si>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</si>
  <si>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</si>
  <si>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</si>
  <si>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</si>
  <si>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</si>
  <si>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</si>
  <si>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</si>
  <si>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</si>
  <si>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</si>
  <si>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</si>
  <si>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</si>
  <si>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</si>
  <si>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</si>
  <si>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</si>
  <si>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</si>
  <si>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</si>
  <si>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</si>
  <si>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</si>
  <si>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</si>
  <si>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</si>
  <si>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</si>
  <si>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</si>
  <si>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</si>
  <si>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</si>
  <si>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</si>
  <si>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</si>
  <si>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</si>
  <si>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</si>
  <si>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</si>
  <si>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</si>
  <si>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</si>
  <si>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</si>
  <si>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</si>
  <si>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</si>
  <si>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</si>
  <si>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</si>
  <si>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</si>
  <si>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</si>
  <si>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</si>
  <si>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</si>
  <si>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</si>
  <si>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</si>
  <si>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</si>
  <si>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</si>
  <si>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</si>
  <si>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</si>
  <si>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</si>
  <si>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</si>
  <si>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</si>
  <si>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</si>
  <si>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</si>
  <si>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</si>
  <si>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</si>
  <si>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</si>
  <si>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</si>
  <si>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</si>
  <si>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</si>
  <si>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</si>
  <si>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</si>
  <si>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</si>
  <si>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</si>
  <si>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</si>
  <si>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</si>
  <si>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</si>
  <si>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</si>
  <si>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</si>
  <si>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</si>
  <si>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</si>
  <si>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</si>
  <si>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</si>
  <si>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</si>
  <si>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</si>
  <si>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</si>
  <si>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</si>
  <si>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</si>
  <si>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</si>
  <si>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</si>
  <si>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</si>
  <si>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</si>
  <si>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</si>
  <si>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r>
      <t>Tỷ lệ % =</t>
    </r>
    <r>
      <rPr>
        <sz val="10"/>
        <rFont val="Times New Roman"/>
        <family val="1"/>
      </rPr>
      <t xml:space="preserve"> (Xong+đình chỉ)/Có điều kiện *100%</t>
    </r>
  </si>
  <si>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</si>
  <si>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</si>
  <si>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</si>
  <si>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</si>
  <si>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</si>
  <si>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</si>
  <si>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</si>
  <si>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</si>
  <si>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</si>
  <si>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</si>
  <si>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</si>
  <si>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</si>
  <si>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</si>
  <si>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</si>
  <si>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</si>
  <si>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</si>
  <si>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</si>
  <si>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</si>
  <si>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</si>
  <si>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</si>
  <si>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</si>
  <si>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</si>
  <si>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</si>
  <si>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</si>
  <si>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</si>
  <si>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</si>
  <si>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</si>
  <si>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</si>
  <si>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 xml:space="preserve">              NGƯỜI LẬP BIỂU</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</si>
  <si>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</si>
  <si>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</si>
  <si>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</si>
  <si>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</si>
  <si>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</si>
  <si>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</si>
  <si>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</si>
  <si>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</si>
  <si>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</si>
  <si>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</si>
  <si>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</si>
  <si>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</si>
  <si>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</si>
  <si>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</si>
  <si>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</si>
  <si>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</si>
  <si>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</si>
  <si>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</si>
  <si>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</si>
  <si>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</si>
  <si>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</si>
  <si>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r>
      <t>Tỷ lệ % =</t>
    </r>
    <r>
      <rPr>
        <sz val="9"/>
        <rFont val="Times New Roman"/>
        <family val="1"/>
      </rPr>
      <t xml:space="preserve"> (Xong+đình chỉ + giảm)/Có điều kiện *100%</t>
    </r>
  </si>
  <si>
    <t>Theo điểm e khoản 2</t>
  </si>
  <si>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</si>
  <si>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</si>
  <si>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</si>
  <si>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</si>
  <si>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</si>
  <si>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</si>
  <si>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</si>
  <si>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</si>
  <si>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</si>
  <si>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</si>
  <si>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</si>
  <si>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</si>
  <si>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</si>
  <si>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</si>
  <si>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</si>
  <si>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</si>
  <si>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</si>
  <si>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</si>
  <si>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</si>
  <si>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</si>
  <si>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</si>
  <si>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</si>
  <si>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</si>
  <si>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</si>
  <si>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</si>
  <si>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</si>
  <si>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</si>
  <si>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</si>
  <si>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</si>
  <si>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</si>
  <si>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</si>
  <si>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</si>
  <si>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</si>
  <si>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</si>
  <si>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</si>
  <si>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</si>
  <si>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</si>
  <si>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</si>
  <si>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</si>
  <si>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</si>
  <si>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</si>
  <si>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</si>
  <si>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</si>
  <si>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</si>
  <si>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</si>
  <si>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</si>
  <si>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</si>
  <si>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</si>
  <si>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</si>
  <si>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</si>
  <si>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</si>
  <si>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</si>
  <si>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</si>
  <si>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</si>
  <si>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</si>
  <si>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</si>
  <si>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</si>
  <si>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</si>
  <si>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</si>
  <si>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</si>
  <si>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</si>
  <si>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</si>
  <si>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</si>
  <si>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</si>
  <si>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</si>
  <si>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</si>
  <si>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</si>
  <si>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</si>
  <si>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</si>
  <si>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</si>
  <si>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</si>
  <si>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</si>
  <si>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</si>
  <si>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</si>
  <si>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</si>
  <si>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</si>
  <si>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</si>
  <si>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</si>
  <si>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</si>
  <si>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</si>
  <si>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</si>
  <si>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</si>
  <si>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</si>
  <si>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</si>
  <si>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</si>
  <si>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</si>
  <si>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</si>
  <si>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</si>
  <si>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</si>
  <si>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</si>
  <si>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</si>
  <si>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</si>
  <si>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</si>
  <si>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</si>
  <si>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</si>
  <si>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</si>
  <si>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</si>
  <si>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</si>
  <si>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</si>
  <si>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</si>
  <si>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</si>
  <si>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</si>
  <si>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</si>
  <si>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</si>
  <si>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</si>
  <si>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</si>
  <si>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</si>
  <si>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</si>
  <si>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</si>
  <si>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</si>
  <si>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</si>
  <si>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</si>
  <si>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</si>
  <si>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</si>
  <si>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</si>
  <si>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</si>
  <si>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</si>
  <si>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</si>
  <si>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</si>
  <si>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</si>
  <si>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</si>
  <si>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</si>
  <si>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</si>
  <si>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</si>
  <si>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</si>
  <si>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</si>
  <si>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</si>
  <si>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</si>
  <si>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</si>
  <si>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</si>
  <si>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</si>
  <si>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</si>
  <si>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</si>
  <si>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</si>
  <si>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</si>
  <si>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r>
      <t xml:space="preserve">Số lượng </t>
    </r>
    <r>
      <rPr>
        <sz val="14"/>
        <rFont val="Times New Roman"/>
        <family val="1"/>
      </rPr>
      <t>(việc)</t>
    </r>
    <r>
      <rPr>
        <b/>
        <sz val="14"/>
        <rFont val="Times New Roman"/>
        <family val="1"/>
      </rPr>
      <t xml:space="preserve">
</t>
    </r>
  </si>
  <si>
    <r>
      <t xml:space="preserve">Số lượng </t>
    </r>
    <r>
      <rPr>
        <sz val="14"/>
        <rFont val="Times New Roman"/>
        <family val="1"/>
      </rPr>
      <t>(việc)</t>
    </r>
  </si>
  <si>
    <r>
      <t xml:space="preserve">Số lượng </t>
    </r>
    <r>
      <rPr>
        <sz val="14"/>
        <rFont val="Times New Roman"/>
        <family val="1"/>
      </rPr>
      <t>(1.000 VN đồng)</t>
    </r>
  </si>
  <si>
    <t xml:space="preserve">                                   Đơn vị tính: Việc</t>
  </si>
  <si>
    <t>Ban hành theo TT số: 08/2015/TT-BTP</t>
  </si>
  <si>
    <t>ngày 26 tháng 6 năm 2015</t>
  </si>
  <si>
    <t>Truy thu</t>
  </si>
  <si>
    <t>Số tạm đình chỉ thi hành án (Điều 49 Luật Thi hành án dân sự)</t>
  </si>
  <si>
    <t>Số đình chỉ thi hành án (Điều 50 Luật Thi hành án dân sự)</t>
  </si>
  <si>
    <t>Số hoãn thi hành án (Điều 48 Luật Thi hành án dân sự )</t>
  </si>
  <si>
    <t xml:space="preserve"> Số chưa có điều kiện thi hành ( Điều 44a Luật Thi hành án dân sự)</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</si>
  <si>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</si>
  <si>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</si>
  <si>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</si>
  <si>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</si>
  <si>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</si>
  <si>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</si>
  <si>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</si>
  <si>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</si>
  <si>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</si>
  <si>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</si>
  <si>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</si>
  <si>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</si>
  <si>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</si>
  <si>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</si>
  <si>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</si>
  <si>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</si>
  <si>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</si>
  <si>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</si>
  <si>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</si>
  <si>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</si>
  <si>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</si>
  <si>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</si>
  <si>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</si>
  <si>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</si>
  <si>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</si>
  <si>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</si>
  <si>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</si>
  <si>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</si>
  <si>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</si>
  <si>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</si>
  <si>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</si>
  <si>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</si>
  <si>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</si>
  <si>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</si>
  <si>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</si>
  <si>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</si>
  <si>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</si>
  <si>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</si>
  <si>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</si>
  <si>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</si>
  <si>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</si>
  <si>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</si>
  <si>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</si>
  <si>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</si>
  <si>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</si>
  <si>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</si>
  <si>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</si>
  <si>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</si>
  <si>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</si>
  <si>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</si>
  <si>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</si>
  <si>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</si>
  <si>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</si>
  <si>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</si>
  <si>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</si>
  <si>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</si>
  <si>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</si>
  <si>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</si>
  <si>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</si>
  <si>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</si>
  <si>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</si>
  <si>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</si>
  <si>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</si>
  <si>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</si>
  <si>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</si>
  <si>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</si>
  <si>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</si>
  <si>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</si>
  <si>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</si>
  <si>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</si>
  <si>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</si>
  <si>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</si>
  <si>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</si>
  <si>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</si>
  <si>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</si>
  <si>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</si>
  <si>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</si>
  <si>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</si>
  <si>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</si>
  <si>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</si>
  <si>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</si>
  <si>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</si>
  <si>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</si>
  <si>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</si>
  <si>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</si>
  <si>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</si>
  <si>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</si>
  <si>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</si>
  <si>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</si>
  <si>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</si>
  <si>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</si>
  <si>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</si>
  <si>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</si>
  <si>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</si>
  <si>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</si>
  <si>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</si>
  <si>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</si>
  <si>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</si>
  <si>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</si>
  <si>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</si>
  <si>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</si>
  <si>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</si>
  <si>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</si>
  <si>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</si>
  <si>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</si>
  <si>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</si>
  <si>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</si>
  <si>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</si>
  <si>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</si>
  <si>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</si>
  <si>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</si>
  <si>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</si>
  <si>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</si>
  <si>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</si>
  <si>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</si>
  <si>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</si>
  <si>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</si>
  <si>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</si>
  <si>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</si>
  <si>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</si>
  <si>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</si>
  <si>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</si>
  <si>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</si>
  <si>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</si>
  <si>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</si>
  <si>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</si>
  <si>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</si>
  <si>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</si>
  <si>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</si>
  <si>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</si>
  <si>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</si>
  <si>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</si>
  <si>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</si>
  <si>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</si>
  <si>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</si>
  <si>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</si>
  <si>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</si>
  <si>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</si>
  <si>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</si>
  <si>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</si>
  <si>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</si>
  <si>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</si>
  <si>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</si>
  <si>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</si>
  <si>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</si>
  <si>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</si>
  <si>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</si>
  <si>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</si>
  <si>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</si>
  <si>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 1</t>
  </si>
  <si>
    <t>kiểm tra 2</t>
  </si>
  <si>
    <t>KIỂM TRA</t>
  </si>
  <si>
    <t>B 3+B4</t>
  </si>
  <si>
    <t>B 7</t>
  </si>
  <si>
    <t>CHÊNH  B5 và B7</t>
  </si>
  <si>
    <t>CHÊNH  B3 + B4 và B 5</t>
  </si>
  <si>
    <t>NGHIỆP VỤ</t>
  </si>
  <si>
    <t>LƯƠNG SƠN</t>
  </si>
  <si>
    <t>KỲ SƠN</t>
  </si>
  <si>
    <t>THÀNH PHỐ</t>
  </si>
  <si>
    <t>ĐÀ BẮC</t>
  </si>
  <si>
    <t>TÂN LẠC</t>
  </si>
  <si>
    <t>LẠC SƠN</t>
  </si>
  <si>
    <t>YÊN THỦY</t>
  </si>
  <si>
    <t>MAI CHÂU</t>
  </si>
  <si>
    <t>KIM BÔI</t>
  </si>
  <si>
    <t>LẠC THỦY</t>
  </si>
  <si>
    <t>CAO PHONG</t>
  </si>
  <si>
    <t>TOÀN TỈNH</t>
  </si>
  <si>
    <t>Hòa Bình, ngày 06 tháng 01 năm 2016</t>
  </si>
  <si>
    <t>CHI CỤC TRƯỞNG</t>
  </si>
  <si>
    <t>Tịch thu và truy thu tách riêng</t>
  </si>
  <si>
    <r>
      <t xml:space="preserve">Đơn vị  nhận báo cáo: </t>
    </r>
    <r>
      <rPr>
        <b/>
        <sz val="11"/>
        <rFont val="Times New Roman"/>
        <family val="1"/>
      </rPr>
      <t>Tổng cục</t>
    </r>
  </si>
  <si>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</si>
  <si>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</si>
  <si>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</si>
  <si>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</si>
  <si>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</si>
  <si>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</si>
  <si>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</si>
  <si>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</si>
  <si>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</si>
  <si>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</si>
  <si>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</si>
  <si>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</si>
  <si>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</si>
  <si>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</si>
  <si>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</si>
  <si>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</si>
  <si>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</si>
  <si>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</si>
  <si>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</si>
  <si>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</si>
  <si>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</si>
  <si>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</si>
  <si>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</si>
  <si>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</si>
  <si>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</si>
  <si>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</si>
  <si>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</si>
  <si>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</si>
  <si>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</si>
  <si>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</si>
  <si>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03 tháng/năm 2016</t>
  </si>
  <si>
    <t>V</t>
  </si>
  <si>
    <t>Tên đơn vị báo cáo:</t>
  </si>
  <si>
    <t xml:space="preserve">Đơn vị báo cáo: </t>
  </si>
  <si>
    <t>Báo cáo tháng</t>
  </si>
  <si>
    <t>Người lập biểu</t>
  </si>
  <si>
    <t>Người ký báo cáo</t>
  </si>
  <si>
    <t>Chức danh người ký báo cáo</t>
  </si>
  <si>
    <t>Ngày ký báo cáo</t>
  </si>
  <si>
    <t xml:space="preserve"> Số chưa có điều kiện thi hành</t>
  </si>
  <si>
    <t>Số đình chỉ thi hành án</t>
  </si>
  <si>
    <t>Số tạm đình chỉ thi hành án</t>
  </si>
  <si>
    <t xml:space="preserve">Số hoãn thi hành án </t>
  </si>
  <si>
    <t xml:space="preserve">Số tạm đình chỉ thi hành án </t>
  </si>
  <si>
    <t>Số chưa có điều kiện thi hành</t>
  </si>
  <si>
    <t>Số hoãn thi hành án</t>
  </si>
  <si>
    <t xml:space="preserve">Số đình chỉ thi hành án </t>
  </si>
  <si>
    <t>PHÂN TÍCH MỘT SỐ CHỈ TIÊU
VIỆC THI HÀNH ÁN DÂN SỰ THEO YÊU CẦU</t>
  </si>
  <si>
    <t>Số  hoãn thi hành án</t>
  </si>
  <si>
    <t>Số  tạm đình chỉ thi hành án</t>
  </si>
  <si>
    <t xml:space="preserve">Số  chưa có điều kiện thi hành </t>
  </si>
  <si>
    <t>1.9</t>
  </si>
  <si>
    <t xml:space="preserve">Đơn vị  báo cáo: </t>
  </si>
  <si>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</si>
  <si>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</si>
  <si>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</si>
  <si>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</si>
  <si>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</si>
  <si>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</si>
  <si>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SỐ VIỆC ĐỀ NGHỊ TÒA ÁN XÉT MIỄN, GIẢM VÀ KẾT QUẢ XÉT MIỄN, GIẢM NGHĨA VỤ THI HÀNH ÁN DÂN SỰ</t>
  </si>
  <si>
    <r>
      <t xml:space="preserve">Đơn vị gửi báo cáo: </t>
    </r>
    <r>
      <rPr>
        <b/>
        <sz val="11"/>
        <rFont val="Times New Roman"/>
        <family val="1"/>
      </rPr>
      <t xml:space="preserve"> </t>
    </r>
  </si>
  <si>
    <t>KHIẾU NẠI VÀ GIẢI QUYẾT KHIẾU NẠI TRONG THI HÀNH ÁN DÂN SỰ</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</si>
  <si>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</si>
  <si>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</si>
  <si>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</si>
  <si>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</si>
  <si>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</si>
  <si>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</si>
  <si>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</si>
  <si>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</si>
  <si>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</si>
  <si>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</si>
  <si>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</si>
  <si>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</si>
  <si>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</si>
  <si>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</si>
  <si>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</si>
  <si>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</si>
  <si>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</si>
  <si>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</si>
  <si>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</si>
  <si>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</si>
  <si>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</si>
  <si>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</si>
  <si>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</si>
  <si>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</si>
  <si>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</si>
  <si>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</si>
  <si>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</si>
  <si>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</si>
  <si>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</si>
  <si>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</si>
  <si>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</si>
  <si>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</si>
  <si>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</si>
  <si>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</si>
  <si>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</si>
  <si>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</si>
  <si>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</si>
  <si>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</si>
  <si>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</si>
  <si>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</si>
  <si>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</si>
  <si>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</si>
  <si>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</si>
  <si>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</si>
  <si>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</si>
  <si>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</si>
  <si>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</si>
  <si>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</si>
  <si>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</si>
  <si>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</si>
  <si>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</si>
  <si>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</si>
  <si>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 xml:space="preserve"> Biểu số: 19/TK-THA</t>
  </si>
  <si>
    <t>SỐ VIỆC ĐÔN ĐỐC THI HÀNH ÁN HÀNH CHÍNH</t>
  </si>
  <si>
    <r>
      <t xml:space="preserve">Đơn vị  nhận báo cáo: </t>
    </r>
    <r>
      <rPr>
        <b/>
        <sz val="12"/>
        <rFont val="Times New Roman"/>
        <family val="1"/>
      </rPr>
      <t>Tổng cục</t>
    </r>
  </si>
  <si>
    <t>Đơn vị tính: Việc</t>
  </si>
  <si>
    <t>Số việc phải đôn đốc thi hành án hành chính đã nhận</t>
  </si>
  <si>
    <t>Kết quả đôn đốc thi hành án hành chính</t>
  </si>
  <si>
    <t>Số văn bản thông báo kết quả thi hành án nhận được</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</si>
  <si>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</si>
  <si>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</si>
  <si>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</si>
  <si>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</si>
  <si>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</si>
  <si>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</si>
  <si>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</si>
  <si>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</si>
  <si>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r>
      <t xml:space="preserve">Đơn vị nhận báo: </t>
    </r>
    <r>
      <rPr>
        <b/>
        <sz val="11"/>
        <rFont val="Times New Roman"/>
        <family val="1"/>
      </rPr>
      <t xml:space="preserve">Tổng cục </t>
    </r>
  </si>
  <si>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</si>
  <si>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SỐ VIỆC, SỐ TIỀN TRONG CÁC BẢN ÁN, QUYẾT ĐỊNH TOÀ ÁN TUYÊN KHÔNG RÕ, CÓ SAI SÓT, CƠ QUAN THI HÀNH ÁN ĐÃ YÊU CẦU GIẢI THÍCH, KIẾN NGHỊ VÀ KẾT QUẢ TRẢ LỜI CỦA TÒA ÁN CÓ THẨM QUYỀN</t>
  </si>
  <si>
    <r>
      <t>Đơn vị nhận báo cáo:</t>
    </r>
    <r>
      <rPr>
        <b/>
        <sz val="12"/>
        <rFont val="Times New Roman"/>
        <family val="1"/>
      </rPr>
      <t xml:space="preserve"> Tổng cục</t>
    </r>
  </si>
  <si>
    <r>
      <t>Đơn vị gửi báo cáo</t>
    </r>
    <r>
      <rPr>
        <b/>
        <sz val="12"/>
        <rFont val="Times New Roman"/>
        <family val="1"/>
      </rPr>
      <t xml:space="preserve">: </t>
    </r>
  </si>
  <si>
    <t xml:space="preserve">Số việc cưỡng chế thành công
</t>
  </si>
  <si>
    <t xml:space="preserve">Số việc cưỡng chế không thành công
</t>
  </si>
  <si>
    <t>Số việc huy động lực lượng từ 20 đến dưới 50 người</t>
  </si>
  <si>
    <t>Số việc huy động lực lượng từ 10 đến dưới 20 người</t>
  </si>
  <si>
    <t xml:space="preserve">Số việc huy động lực lượng dưới 10 người
</t>
  </si>
  <si>
    <t>SỐ VIỆC CƯỠNG CHẾ THI HÀNH ÁN KHÔNG HUY ĐỘNG LỰC LƯỢNG VÀ CÓ HUY ĐỘNG LỰC LƯỢNG</t>
  </si>
  <si>
    <t>Tổng số việc đã ra quyết định cưỡng chế</t>
  </si>
  <si>
    <t xml:space="preserve">Số đình chỉ
</t>
  </si>
  <si>
    <r>
      <t xml:space="preserve">Đơn vị nhận báo cáo: </t>
    </r>
    <r>
      <rPr>
        <b/>
        <sz val="12"/>
        <rFont val="Times New Roman"/>
        <family val="1"/>
      </rPr>
      <t>Tổng cục THADS</t>
    </r>
  </si>
  <si>
    <r>
      <t>Đơn vị gửi báo cáo:</t>
    </r>
    <r>
      <rPr>
        <b/>
        <sz val="12"/>
        <rFont val="Times New Roman"/>
        <family val="1"/>
      </rPr>
      <t xml:space="preserve"> </t>
    </r>
  </si>
  <si>
    <t>SỐ CUỘC GIÁM SÁT VÀ KẾT QUẢ THỰC HIỆN KẾT LUẬN GIÁM SÁT</t>
  </si>
  <si>
    <t>SỐ CUỘC KIỂM SÁT VÀ KẾT QUẢ  KIỂM SÁT</t>
  </si>
  <si>
    <t>SỐ VIỆC, SỐ TIỀN TRONG CÁC BẢN ÁN, QUYẾT ĐỊNH KHÁNG NGHỊ  VÀ KẾT QUẢ XỬ LÝ KHÁNG NGHỊ
 CỦA TOÀ ÁN VÀ VIỆN KIỂM SÁT</t>
  </si>
  <si>
    <t>Đơn vị báo cáo:</t>
  </si>
  <si>
    <t>Tổng số</t>
  </si>
  <si>
    <t>ngày 26 tháng 6 năm 201513</t>
  </si>
  <si>
    <t>Biểu số: 11/TK-THA</t>
  </si>
  <si>
    <t>Biểu số: 12/TK-THA</t>
  </si>
  <si>
    <t xml:space="preserve"> Viện KSND cấp cao</t>
  </si>
  <si>
    <t>Ngày nhận báo cáo:………………...…</t>
  </si>
  <si>
    <t>Ngày nhận báo cáo:….……………...…</t>
  </si>
  <si>
    <t xml:space="preserve"> Ngày nhận báo cáo:………………...…</t>
  </si>
  <si>
    <t>Nguyễn Thị Mai Hoa</t>
  </si>
  <si>
    <t>Trần Hồng Quang</t>
  </si>
  <si>
    <t>Phạm Tiến Binh</t>
  </si>
  <si>
    <t xml:space="preserve"> Bùi Văn Dũng</t>
  </si>
  <si>
    <t xml:space="preserve"> Quản Văn Đức </t>
  </si>
  <si>
    <t xml:space="preserve"> Lê Thị Liên</t>
  </si>
  <si>
    <t xml:space="preserve"> Phùng Trọng Nghĩa</t>
  </si>
  <si>
    <t>1.10</t>
  </si>
  <si>
    <t xml:space="preserve"> Bùi Quang Minh</t>
  </si>
  <si>
    <t>1.11</t>
  </si>
  <si>
    <t>Ngô Văn Hòa</t>
  </si>
  <si>
    <t>1.12</t>
  </si>
  <si>
    <t>1.13</t>
  </si>
  <si>
    <t>1.14</t>
  </si>
  <si>
    <t>Đinh Đức Quang</t>
  </si>
  <si>
    <t>1.15</t>
  </si>
  <si>
    <t xml:space="preserve"> Nguyễn Thị Mai Anh</t>
  </si>
  <si>
    <t>1.16</t>
  </si>
  <si>
    <t>Phan Thị Nhuyến</t>
  </si>
  <si>
    <t>1.17</t>
  </si>
  <si>
    <t>Lê Thị Minh Thúy</t>
  </si>
  <si>
    <t>Các Chi  cục THADS</t>
  </si>
  <si>
    <t xml:space="preserve"> H.An Dương</t>
  </si>
  <si>
    <t>Trần Quốc Lập</t>
  </si>
  <si>
    <t xml:space="preserve"> H.An Lão</t>
  </si>
  <si>
    <t xml:space="preserve"> Phạm Văn Hùng</t>
  </si>
  <si>
    <t>Vũ Văn Biên</t>
  </si>
  <si>
    <t xml:space="preserve"> Trịnh Duy Hưng </t>
  </si>
  <si>
    <t>Trần Mạnh Cường</t>
  </si>
  <si>
    <t>Q.Đồ Sơn</t>
  </si>
  <si>
    <t xml:space="preserve"> Mai Thị Hà</t>
  </si>
  <si>
    <t>Đàm Xuân Thủy</t>
  </si>
  <si>
    <t xml:space="preserve"> Lê Viết Thắng</t>
  </si>
  <si>
    <t xml:space="preserve"> H.Bạch Long Vĩ</t>
  </si>
  <si>
    <t>Trần Tăng Vấn</t>
  </si>
  <si>
    <t xml:space="preserve"> Q.Lê Chân</t>
  </si>
  <si>
    <t>Nguyễn Ngọc Hoàn</t>
  </si>
  <si>
    <t>Lương Duy Hiếu</t>
  </si>
  <si>
    <t>Đỗ Văn Thịnh</t>
  </si>
  <si>
    <t>5.4</t>
  </si>
  <si>
    <t>Phạm Thị Ngân Hoài</t>
  </si>
  <si>
    <t>5.5</t>
  </si>
  <si>
    <t>Vũ Thế Khương</t>
  </si>
  <si>
    <t>5.6</t>
  </si>
  <si>
    <t>Trần Thị Hương</t>
  </si>
  <si>
    <t>5.7</t>
  </si>
  <si>
    <t>Đỗ Thị Thanh Trà</t>
  </si>
  <si>
    <t xml:space="preserve"> Q.Hải An</t>
  </si>
  <si>
    <t xml:space="preserve"> Nguyễn Văn Lai</t>
  </si>
  <si>
    <t>Ng.Thị Ph.Thảo</t>
  </si>
  <si>
    <t>Trịnh Quang Khánh</t>
  </si>
  <si>
    <t xml:space="preserve"> Hoàng Thị Vân Anh</t>
  </si>
  <si>
    <t>Q. Hồng Bàng</t>
  </si>
  <si>
    <t>Nguyễn Tùng Ngọc</t>
  </si>
  <si>
    <t>Phạm Đăng Ngọc</t>
  </si>
  <si>
    <t>Nguyễn Trần Tuấn</t>
  </si>
  <si>
    <t>Nguyễn Thị Hiền</t>
  </si>
  <si>
    <t>Trần Kim Thoa</t>
  </si>
  <si>
    <t>Nguyễn Thị Quế</t>
  </si>
  <si>
    <t xml:space="preserve"> Q.Kiến An</t>
  </si>
  <si>
    <t>8.1</t>
  </si>
  <si>
    <t xml:space="preserve"> Phạm Văn Nhất</t>
  </si>
  <si>
    <t>8.2</t>
  </si>
  <si>
    <t xml:space="preserve"> Bùi Thị Mai</t>
  </si>
  <si>
    <t xml:space="preserve"> H.Kiến Thụy</t>
  </si>
  <si>
    <t>9.1</t>
  </si>
  <si>
    <t>CHV  Phạm Văn Vơ</t>
  </si>
  <si>
    <t>9.2</t>
  </si>
  <si>
    <t>CHV Trần Đại Sỹ</t>
  </si>
  <si>
    <t>9.3</t>
  </si>
  <si>
    <t>CHV  Đỗ Thị Thành</t>
  </si>
  <si>
    <t>Q.Ngô Quyền</t>
  </si>
  <si>
    <t>Nguyễn Trường Giang</t>
  </si>
  <si>
    <t>Phạm Văn Tú</t>
  </si>
  <si>
    <t>10.7</t>
  </si>
  <si>
    <t>Mai Thị Hoa</t>
  </si>
  <si>
    <t>10.8</t>
  </si>
  <si>
    <t>10.9</t>
  </si>
  <si>
    <t>Đoàn Thị Minh Châu</t>
  </si>
  <si>
    <t xml:space="preserve"> H.Cát Hải</t>
  </si>
  <si>
    <t>11.1</t>
  </si>
  <si>
    <t>Nguyễn Tiến Dược</t>
  </si>
  <si>
    <t>11.2</t>
  </si>
  <si>
    <t xml:space="preserve"> Hồ Anh Văn</t>
  </si>
  <si>
    <t>Phạm Thế Toàn</t>
  </si>
  <si>
    <t xml:space="preserve"> H.Tiên Lãng</t>
  </si>
  <si>
    <t xml:space="preserve"> Lê Văn Diên</t>
  </si>
  <si>
    <t xml:space="preserve"> H.Thủy Nguyên</t>
  </si>
  <si>
    <t>Nguyễn Thế Mạnh</t>
  </si>
  <si>
    <t xml:space="preserve"> Phạm Ngọc Phong</t>
  </si>
  <si>
    <t xml:space="preserve"> H.Vĩnh Bảo</t>
  </si>
  <si>
    <t>14.1</t>
  </si>
  <si>
    <t>Phạm Hồng Nguyện</t>
  </si>
  <si>
    <t>14.2</t>
  </si>
  <si>
    <t>Trần Minh Đức</t>
  </si>
  <si>
    <t xml:space="preserve"> Q.Dương Kinh</t>
  </si>
  <si>
    <t>Thái Bá Sức</t>
  </si>
  <si>
    <t>Lương Văn Lịch</t>
  </si>
  <si>
    <t>Hồng Bàng</t>
  </si>
  <si>
    <t>10.1</t>
  </si>
  <si>
    <t>10.3</t>
  </si>
  <si>
    <t>10.4</t>
  </si>
  <si>
    <t>10.5</t>
  </si>
  <si>
    <t>10.6</t>
  </si>
  <si>
    <t>Đơn vị nhận báo cáo: Tổng cục</t>
  </si>
  <si>
    <r>
      <t xml:space="preserve">Đơn vị nhận báo cáo: </t>
    </r>
    <r>
      <rPr>
        <sz val="12"/>
        <rFont val="Times New Roman"/>
        <family val="1"/>
      </rPr>
      <t>Tổng cục</t>
    </r>
  </si>
  <si>
    <t>CụcTHADSTP Hải Phòng</t>
  </si>
  <si>
    <t>Chi cục THDS H.An Dương</t>
  </si>
  <si>
    <t>Chi cục THADS H.An Lão</t>
  </si>
  <si>
    <t>Chi cục THADS Q.Đồ Sơn</t>
  </si>
  <si>
    <t>Chi cục THADS H.Bạch Long Vĩ</t>
  </si>
  <si>
    <t>Chi cục THADS Q.Lê Chân</t>
  </si>
  <si>
    <t>Chi cục THADS Q.Hải An</t>
  </si>
  <si>
    <t>Chi cục THADS Q.Hồng Bàng</t>
  </si>
  <si>
    <t>Chi cục THADS Q.Kiến An</t>
  </si>
  <si>
    <t>Chi cục THADS H.Kiến Thụy</t>
  </si>
  <si>
    <t>Chi cục THADS Q.Ngô Quyền</t>
  </si>
  <si>
    <t>Chi cục THADS H.Cát Hải</t>
  </si>
  <si>
    <t>Chi cục THADS H.Tiên Lãng</t>
  </si>
  <si>
    <t>Chi cục THADS H.Thủy Nguyên</t>
  </si>
  <si>
    <t>Chi cục THADS H.Vĩnh Bảo</t>
  </si>
  <si>
    <t>Chi cục THADS Q.Dương Kinh</t>
  </si>
  <si>
    <t>Trần Thị Minh</t>
  </si>
  <si>
    <r>
      <t xml:space="preserve">CTHADS </t>
    </r>
    <r>
      <rPr>
        <sz val="12"/>
        <color indexed="10"/>
        <rFont val="Times New Roman"/>
        <family val="1"/>
      </rPr>
      <t>Hải Phòng</t>
    </r>
  </si>
  <si>
    <t xml:space="preserve">
PHÓ CỤC TRƯỞNG</t>
  </si>
  <si>
    <t>Bùi Đức Tiến</t>
  </si>
  <si>
    <t>Q. Lê Chân</t>
  </si>
  <si>
    <t>Q.Hải An</t>
  </si>
  <si>
    <t>Q.Dương Kinh</t>
  </si>
  <si>
    <t>Q.Kiến An</t>
  </si>
  <si>
    <t>H.An Dương</t>
  </si>
  <si>
    <t>H.An Lão</t>
  </si>
  <si>
    <t>H.Vĩnh Bảo</t>
  </si>
  <si>
    <t>H.Tiên Lãng</t>
  </si>
  <si>
    <t>H.Thủy Nguyên</t>
  </si>
  <si>
    <t>H.Kiến Thụy</t>
  </si>
  <si>
    <t>H.Cát Hải</t>
  </si>
  <si>
    <t>H.BLV</t>
  </si>
  <si>
    <t>0</t>
  </si>
  <si>
    <t>8.301.851</t>
  </si>
  <si>
    <t>Hoàng Tiến Dũng</t>
  </si>
  <si>
    <t>Đỗ Khắc Oanh</t>
  </si>
  <si>
    <t>Đỗ Thị Thanh Thủy</t>
  </si>
  <si>
    <t>Nguyễn Trí Thành</t>
  </si>
  <si>
    <t>Bùi Mạnh Hùng</t>
  </si>
  <si>
    <t>Nguyễn Thị Thủy</t>
  </si>
  <si>
    <t>Phạm Thị Thu Hiền</t>
  </si>
  <si>
    <t>Hoàng Vân Anh</t>
  </si>
  <si>
    <t>8.3</t>
  </si>
  <si>
    <t>Lê Thị Tuyết Thanh</t>
  </si>
  <si>
    <t>Nguyễn Thanh Hải</t>
  </si>
  <si>
    <t>Nguyễn T Diệp Anh</t>
  </si>
  <si>
    <t>Lê Văn Thụy</t>
  </si>
  <si>
    <t>Lê Viết Thắng</t>
  </si>
  <si>
    <t xml:space="preserve"> Bùi Văn Châu</t>
  </si>
  <si>
    <t xml:space="preserve"> Tạ Văn Quảng</t>
  </si>
  <si>
    <t>Đỗ Văn Hoàng</t>
  </si>
  <si>
    <t xml:space="preserve"> Nguyễn Thị Xuân Hoa</t>
  </si>
  <si>
    <t xml:space="preserve"> Đinh Thị Quyên</t>
  </si>
  <si>
    <t xml:space="preserve"> Kiều Thị Hạnh Nguyên</t>
  </si>
  <si>
    <t>Phùng Ngọc Huy</t>
  </si>
  <si>
    <t xml:space="preserve"> Hoàng Trọng Hiếu</t>
  </si>
  <si>
    <t>13.11</t>
  </si>
  <si>
    <t>Tô Anh Dũng</t>
  </si>
  <si>
    <t>Phạm Văn Phúc</t>
  </si>
  <si>
    <t>Lương Thanh Thủy</t>
  </si>
  <si>
    <t>7.1</t>
  </si>
  <si>
    <t>7.2</t>
  </si>
  <si>
    <t>7.3</t>
  </si>
  <si>
    <t>7.4</t>
  </si>
  <si>
    <t>7.5</t>
  </si>
  <si>
    <t>7.6</t>
  </si>
  <si>
    <t>6.1</t>
  </si>
  <si>
    <t>6.2</t>
  </si>
  <si>
    <t>6.3</t>
  </si>
  <si>
    <t>6.4</t>
  </si>
  <si>
    <t>6.5</t>
  </si>
  <si>
    <r>
      <rPr>
        <sz val="12"/>
        <color indexed="10"/>
        <rFont val="Times New Roman"/>
        <family val="1"/>
      </rPr>
      <t xml:space="preserve">10 </t>
    </r>
    <r>
      <rPr>
        <sz val="12"/>
        <rFont val="Times New Roman"/>
        <family val="1"/>
      </rPr>
      <t>tháng / năm 2017</t>
    </r>
  </si>
  <si>
    <r>
      <t xml:space="preserve">Hải Phòng, ngày </t>
    </r>
    <r>
      <rPr>
        <sz val="12"/>
        <color indexed="10"/>
        <rFont val="Times New Roman"/>
        <family val="1"/>
      </rPr>
      <t>03</t>
    </r>
    <r>
      <rPr>
        <sz val="12"/>
        <rFont val="Times New Roman"/>
        <family val="1"/>
      </rPr>
      <t xml:space="preserve"> tháng </t>
    </r>
    <r>
      <rPr>
        <sz val="12"/>
        <color indexed="10"/>
        <rFont val="Times New Roman"/>
        <family val="1"/>
      </rPr>
      <t>8</t>
    </r>
    <r>
      <rPr>
        <sz val="12"/>
        <rFont val="Times New Roman"/>
        <family val="1"/>
      </rPr>
      <t xml:space="preserve"> năm 2017</t>
    </r>
  </si>
  <si>
    <t>Nguyễn Phi Hùng</t>
  </si>
  <si>
    <t>Nguyễn Văn Lai</t>
  </si>
  <si>
    <t>Nguyễn T.P Thảo</t>
  </si>
  <si>
    <t>Nguyễn Văn Thảnh</t>
  </si>
  <si>
    <t>10.2</t>
  </si>
  <si>
    <t>13.12</t>
  </si>
  <si>
    <t>Lê Văn Diên</t>
  </si>
  <si>
    <r>
      <t xml:space="preserve">Đơn vị gửi báo cáo: </t>
    </r>
    <r>
      <rPr>
        <b/>
        <sz val="12"/>
        <rFont val="Times New Roman"/>
        <family val="1"/>
      </rPr>
      <t xml:space="preserve">
</t>
    </r>
  </si>
</sst>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Red]#,##0"/>
    <numFmt numFmtId="211" formatCode="0;[Red]0"/>
    <numFmt numFmtId="212" formatCode="###\ ###\ ###"/>
    <numFmt numFmtId="213" formatCode="0_);\(0\)"/>
    <numFmt numFmtId="214" formatCode="###\ ###\ "/>
    <numFmt numFmtId="215" formatCode="#,##0.00;[Red]#,##0.00"/>
    <numFmt numFmtId="216" formatCode="0.0000%"/>
    <numFmt numFmtId="217" formatCode="_(* #,##0_);_(* \(#,##0\);_(* &quot;&quot;??_);_(@_)"/>
  </numFmts>
  <fonts count="160">
    <font>
      <sz val="12"/>
      <name val="Times New Roman"/>
      <family val="1"/>
    </font>
    <font>
      <sz val="12"/>
      <name val=".VnTime"/>
      <family val="2"/>
    </font>
    <font>
      <sz val="8"/>
      <name val=".VnTime"/>
      <family val="2"/>
    </font>
    <font>
      <sz val="10"/>
      <name val=".vntime"/>
      <family val="2"/>
    </font>
    <font>
      <b/>
      <sz val="12"/>
      <name val=".VnTimeH"/>
      <family val="2"/>
    </font>
    <font>
      <sz val="9"/>
      <name val=".VnTime"/>
      <family val="2"/>
    </font>
    <font>
      <b/>
      <sz val="12"/>
      <name val=".VnTime"/>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b/>
      <sz val="12"/>
      <color indexed="9"/>
      <name val="Times New Roman"/>
      <family val="1"/>
    </font>
    <font>
      <i/>
      <sz val="9"/>
      <name val="Times New Roman"/>
      <family val="1"/>
    </font>
    <font>
      <sz val="13"/>
      <name val="Arial"/>
      <family val="2"/>
    </font>
    <font>
      <b/>
      <sz val="8"/>
      <name val="Arial"/>
      <family val="2"/>
    </font>
    <font>
      <b/>
      <sz val="10"/>
      <color indexed="10"/>
      <name val="Times New Roman"/>
      <family val="1"/>
    </font>
    <font>
      <b/>
      <sz val="10"/>
      <color indexed="8"/>
      <name val="Times New Roman"/>
      <family val="1"/>
    </font>
    <font>
      <sz val="11"/>
      <color indexed="8"/>
      <name val="Times New Roman"/>
      <family val="1"/>
    </font>
    <font>
      <sz val="12"/>
      <color indexed="8"/>
      <name val="Times New Roman"/>
      <family val="1"/>
    </font>
    <font>
      <sz val="11"/>
      <color indexed="8"/>
      <name val="Calibri"/>
      <family val="2"/>
    </font>
    <font>
      <i/>
      <sz val="8"/>
      <color indexed="10"/>
      <name val="Times New Roman"/>
      <family val="1"/>
    </font>
    <font>
      <b/>
      <sz val="14"/>
      <color indexed="10"/>
      <name val="Times New Roman"/>
      <family val="1"/>
    </font>
    <font>
      <sz val="13"/>
      <color indexed="10"/>
      <name val="Times New Roman"/>
      <family val="1"/>
    </font>
    <font>
      <i/>
      <sz val="11"/>
      <color indexed="10"/>
      <name val="Times New Roman"/>
      <family val="1"/>
    </font>
    <font>
      <sz val="8"/>
      <color indexed="8"/>
      <name val="Times New Roman"/>
      <family val="1"/>
    </font>
    <font>
      <sz val="8"/>
      <color indexed="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9"/>
      <color indexed="8"/>
      <name val=".VnHelvetInsH"/>
      <family val="2"/>
    </font>
    <font>
      <sz val="8"/>
      <color indexed="8"/>
      <name val=".VnHelvetInsH"/>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50"/>
        <bgColor indexed="64"/>
      </patternFill>
    </fill>
    <fill>
      <patternFill patternType="solid">
        <fgColor rgb="FFFFFF00"/>
        <bgColor indexed="64"/>
      </patternFill>
    </fill>
    <fill>
      <patternFill patternType="solid">
        <fgColor theme="0"/>
        <bgColor indexed="64"/>
      </patternFill>
    </fill>
    <fill>
      <patternFill patternType="solid">
        <fgColor indexed="4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double"/>
      <top style="thin"/>
      <bottom style="thin"/>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color indexed="63"/>
      </right>
      <top style="thin"/>
      <bottom style="thin"/>
    </border>
    <border>
      <left style="thin"/>
      <right style="thin"/>
      <top style="double"/>
      <bottom style="thin"/>
    </border>
    <border>
      <left>
        <color indexed="63"/>
      </left>
      <right>
        <color indexed="63"/>
      </right>
      <top>
        <color indexed="63"/>
      </top>
      <bottom style="double"/>
    </border>
    <border>
      <left style="thin"/>
      <right style="double"/>
      <top style="double"/>
      <bottom style="thin"/>
    </border>
    <border>
      <left style="double"/>
      <right style="thin"/>
      <top style="double"/>
      <bottom style="thin"/>
    </border>
    <border>
      <left style="double"/>
      <right style="thin"/>
      <top style="thin"/>
      <bottom style="thin"/>
    </border>
  </borders>
  <cellStyleXfs count="3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3" fillId="2" borderId="0" applyNumberFormat="0" applyBorder="0" applyAlignment="0" applyProtection="0"/>
    <xf numFmtId="0" fontId="42" fillId="2" borderId="0" applyNumberFormat="0" applyBorder="0" applyAlignment="0" applyProtection="0"/>
    <xf numFmtId="0" fontId="42" fillId="2" borderId="0" applyNumberFormat="0" applyBorder="0" applyAlignment="0" applyProtection="0"/>
    <xf numFmtId="0" fontId="143"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143" fillId="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43"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43"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143"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143"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43"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143"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143" fillId="1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143" fillId="16"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143" fillId="17"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144" fillId="19"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144" fillId="21"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144"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144"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44" fillId="2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44"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144" fillId="26"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144" fillId="28"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144" fillId="30"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144" fillId="3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44" fillId="33"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144" fillId="34"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145" fillId="36" borderId="0" applyNumberFormat="0" applyBorder="0" applyAlignment="0" applyProtection="0"/>
    <xf numFmtId="0" fontId="44" fillId="3" borderId="0" applyNumberFormat="0" applyBorder="0" applyAlignment="0" applyProtection="0"/>
    <xf numFmtId="0" fontId="44" fillId="3" borderId="0" applyNumberFormat="0" applyBorder="0" applyAlignment="0" applyProtection="0"/>
    <xf numFmtId="0" fontId="146" fillId="37" borderId="1" applyNumberFormat="0" applyAlignment="0" applyProtection="0"/>
    <xf numFmtId="0" fontId="45" fillId="38" borderId="2" applyNumberFormat="0" applyAlignment="0" applyProtection="0"/>
    <xf numFmtId="0" fontId="45" fillId="3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7" fillId="39" borderId="3" applyNumberFormat="0" applyAlignment="0" applyProtection="0"/>
    <xf numFmtId="0" fontId="46" fillId="40" borderId="4" applyNumberFormat="0" applyAlignment="0" applyProtection="0"/>
    <xf numFmtId="0" fontId="46" fillId="40" borderId="4" applyNumberFormat="0" applyAlignment="0" applyProtection="0"/>
    <xf numFmtId="0" fontId="148"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6" fillId="0" borderId="0" applyNumberFormat="0" applyFill="0" applyBorder="0" applyAlignment="0" applyProtection="0"/>
    <xf numFmtId="0" fontId="149" fillId="41"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150" fillId="0" borderId="5"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151" fillId="0" borderId="7"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152" fillId="0" borderId="9" applyNumberFormat="0" applyFill="0" applyAlignment="0" applyProtection="0"/>
    <xf numFmtId="0" fontId="51" fillId="0" borderId="10" applyNumberFormat="0" applyFill="0" applyAlignment="0" applyProtection="0"/>
    <xf numFmtId="0" fontId="51" fillId="0" borderId="10" applyNumberFormat="0" applyFill="0" applyAlignment="0" applyProtection="0"/>
    <xf numFmtId="0" fontId="152"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153" fillId="42" borderId="1" applyNumberFormat="0" applyAlignment="0" applyProtection="0"/>
    <xf numFmtId="0" fontId="52" fillId="9" borderId="2" applyNumberFormat="0" applyAlignment="0" applyProtection="0"/>
    <xf numFmtId="0" fontId="52" fillId="9" borderId="2" applyNumberFormat="0" applyAlignment="0" applyProtection="0"/>
    <xf numFmtId="0" fontId="154" fillId="0" borderId="11" applyNumberFormat="0" applyFill="0" applyAlignment="0" applyProtection="0"/>
    <xf numFmtId="0" fontId="53" fillId="0" borderId="12" applyNumberFormat="0" applyFill="0" applyAlignment="0" applyProtection="0"/>
    <xf numFmtId="0" fontId="53" fillId="0" borderId="12" applyNumberFormat="0" applyFill="0" applyAlignment="0" applyProtection="0"/>
    <xf numFmtId="0" fontId="155" fillId="43" borderId="0" applyNumberFormat="0" applyBorder="0" applyAlignment="0" applyProtection="0"/>
    <xf numFmtId="0" fontId="54" fillId="44" borderId="0" applyNumberFormat="0" applyBorder="0" applyAlignment="0" applyProtection="0"/>
    <xf numFmtId="0" fontId="54" fillId="44" borderId="0" applyNumberFormat="0" applyBorder="0" applyAlignment="0" applyProtection="0"/>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0" fillId="0" borderId="0">
      <alignment/>
      <protection/>
    </xf>
    <xf numFmtId="0" fontId="32" fillId="0" borderId="0">
      <alignment/>
      <protection/>
    </xf>
    <xf numFmtId="0" fontId="0" fillId="0" borderId="0">
      <alignment/>
      <protection/>
    </xf>
    <xf numFmtId="0" fontId="32" fillId="0" borderId="0">
      <alignment/>
      <protection/>
    </xf>
    <xf numFmtId="0" fontId="0" fillId="0" borderId="0">
      <alignment/>
      <protection/>
    </xf>
    <xf numFmtId="0" fontId="0"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117"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0" fillId="0" borderId="0">
      <alignment/>
      <protection/>
    </xf>
    <xf numFmtId="0" fontId="0" fillId="45" borderId="13" applyNumberFormat="0" applyFont="0" applyAlignment="0" applyProtection="0"/>
    <xf numFmtId="0" fontId="42" fillId="46" borderId="14" applyNumberFormat="0" applyFont="0" applyAlignment="0" applyProtection="0"/>
    <xf numFmtId="0" fontId="42" fillId="46" borderId="14" applyNumberFormat="0" applyFont="0" applyAlignment="0" applyProtection="0"/>
    <xf numFmtId="0" fontId="156" fillId="37" borderId="15" applyNumberFormat="0" applyAlignment="0" applyProtection="0"/>
    <xf numFmtId="0" fontId="55" fillId="38" borderId="16" applyNumberFormat="0" applyAlignment="0" applyProtection="0"/>
    <xf numFmtId="0" fontId="55" fillId="38"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0" fillId="0" borderId="0" applyFont="0" applyFill="0" applyBorder="0" applyAlignment="0" applyProtection="0"/>
    <xf numFmtId="0" fontId="1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58" fillId="0" borderId="17"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159"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cellStyleXfs>
  <cellXfs count="1913">
    <xf numFmtId="0" fontId="0" fillId="0" borderId="0" xfId="0" applyAlignment="1">
      <alignment/>
    </xf>
    <xf numFmtId="49" fontId="1" fillId="0" borderId="0" xfId="0" applyNumberFormat="1" applyFont="1" applyAlignment="1">
      <alignment/>
    </xf>
    <xf numFmtId="49" fontId="0" fillId="0" borderId="0" xfId="0" applyNumberFormat="1" applyFill="1" applyAlignment="1">
      <alignment/>
    </xf>
    <xf numFmtId="49" fontId="14" fillId="0" borderId="0" xfId="93" applyNumberFormat="1" applyFont="1" applyBorder="1" applyAlignment="1">
      <alignment vertical="center"/>
    </xf>
    <xf numFmtId="49" fontId="14" fillId="0" borderId="19" xfId="93" applyNumberFormat="1" applyFont="1" applyBorder="1" applyAlignment="1">
      <alignment vertical="center"/>
    </xf>
    <xf numFmtId="49" fontId="10" fillId="0" borderId="20" xfId="0" applyNumberFormat="1" applyFont="1" applyBorder="1" applyAlignment="1">
      <alignment horizontal="center"/>
    </xf>
    <xf numFmtId="49" fontId="8" fillId="0" borderId="0" xfId="0" applyNumberFormat="1" applyFont="1" applyAlignment="1">
      <alignment/>
    </xf>
    <xf numFmtId="49" fontId="10" fillId="0" borderId="20" xfId="0" applyNumberFormat="1" applyFont="1" applyFill="1" applyBorder="1" applyAlignment="1">
      <alignment horizontal="left"/>
    </xf>
    <xf numFmtId="49" fontId="12"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10" fillId="0" borderId="22" xfId="0" applyNumberFormat="1" applyFont="1" applyFill="1" applyBorder="1" applyAlignment="1">
      <alignment/>
    </xf>
    <xf numFmtId="49" fontId="10" fillId="0" borderId="20" xfId="0" applyNumberFormat="1" applyFont="1" applyFill="1" applyBorder="1" applyAlignment="1">
      <alignment horizontal="center" vertical="center" wrapText="1"/>
    </xf>
    <xf numFmtId="49" fontId="11" fillId="0" borderId="20" xfId="0" applyNumberFormat="1" applyFont="1" applyFill="1" applyBorder="1" applyAlignment="1">
      <alignment horizontal="center"/>
    </xf>
    <xf numFmtId="49" fontId="11" fillId="0" borderId="20" xfId="0" applyNumberFormat="1" applyFont="1" applyFill="1" applyBorder="1" applyAlignment="1">
      <alignment horizontal="left"/>
    </xf>
    <xf numFmtId="49" fontId="21" fillId="0" borderId="20" xfId="0" applyNumberFormat="1" applyFont="1" applyFill="1" applyBorder="1" applyAlignment="1">
      <alignment horizontal="center" vertical="center" wrapText="1"/>
    </xf>
    <xf numFmtId="49" fontId="11" fillId="0" borderId="23" xfId="0" applyNumberFormat="1" applyFont="1" applyFill="1" applyBorder="1" applyAlignment="1">
      <alignment horizontal="center"/>
    </xf>
    <xf numFmtId="49" fontId="17" fillId="0" borderId="20" xfId="0" applyNumberFormat="1" applyFont="1" applyFill="1" applyBorder="1" applyAlignment="1">
      <alignment horizontal="left"/>
    </xf>
    <xf numFmtId="49" fontId="10" fillId="0" borderId="20" xfId="0" applyNumberFormat="1" applyFont="1" applyFill="1" applyBorder="1" applyAlignment="1">
      <alignment horizontal="center"/>
    </xf>
    <xf numFmtId="49" fontId="12" fillId="0" borderId="20" xfId="0" applyNumberFormat="1" applyFont="1" applyFill="1" applyBorder="1" applyAlignment="1">
      <alignment horizontal="center"/>
    </xf>
    <xf numFmtId="49" fontId="22" fillId="0" borderId="20" xfId="0" applyNumberFormat="1" applyFont="1" applyFill="1" applyBorder="1" applyAlignment="1">
      <alignment horizontal="center"/>
    </xf>
    <xf numFmtId="49" fontId="25" fillId="0" borderId="0" xfId="0" applyNumberFormat="1" applyFont="1" applyFill="1" applyAlignment="1">
      <alignment/>
    </xf>
    <xf numFmtId="49" fontId="27" fillId="0" borderId="0" xfId="0" applyNumberFormat="1" applyFont="1" applyFill="1" applyAlignment="1">
      <alignment/>
    </xf>
    <xf numFmtId="49" fontId="7" fillId="0" borderId="0" xfId="0" applyNumberFormat="1" applyFont="1" applyFill="1" applyAlignment="1">
      <alignment/>
    </xf>
    <xf numFmtId="49" fontId="18" fillId="0" borderId="0" xfId="0" applyNumberFormat="1" applyFont="1" applyFill="1" applyAlignment="1">
      <alignment wrapText="1"/>
    </xf>
    <xf numFmtId="49" fontId="8" fillId="0" borderId="0" xfId="0" applyNumberFormat="1" applyFont="1" applyFill="1" applyAlignment="1">
      <alignment/>
    </xf>
    <xf numFmtId="49" fontId="7" fillId="0" borderId="0" xfId="0" applyNumberFormat="1" applyFont="1" applyFill="1" applyAlignment="1">
      <alignment wrapText="1"/>
    </xf>
    <xf numFmtId="49" fontId="10" fillId="0" borderId="20" xfId="0" applyNumberFormat="1" applyFont="1" applyFill="1" applyBorder="1" applyAlignment="1">
      <alignment/>
    </xf>
    <xf numFmtId="49" fontId="20" fillId="0" borderId="0" xfId="0" applyNumberFormat="1" applyFont="1" applyFill="1" applyBorder="1" applyAlignment="1">
      <alignment vertical="center" wrapText="1"/>
    </xf>
    <xf numFmtId="49" fontId="23" fillId="0" borderId="0" xfId="0" applyNumberFormat="1" applyFont="1" applyFill="1" applyAlignment="1">
      <alignment/>
    </xf>
    <xf numFmtId="49" fontId="28" fillId="0" borderId="0" xfId="0" applyNumberFormat="1" applyFont="1" applyFill="1" applyBorder="1" applyAlignment="1">
      <alignment vertical="center" wrapText="1"/>
    </xf>
    <xf numFmtId="49" fontId="12" fillId="0" borderId="0" xfId="0" applyNumberFormat="1" applyFont="1" applyAlignment="1">
      <alignment/>
    </xf>
    <xf numFmtId="49" fontId="0" fillId="0" borderId="0" xfId="0" applyNumberFormat="1" applyFont="1" applyAlignment="1">
      <alignment/>
    </xf>
    <xf numFmtId="49" fontId="0" fillId="0" borderId="20" xfId="0" applyNumberFormat="1" applyFont="1" applyBorder="1" applyAlignment="1">
      <alignment/>
    </xf>
    <xf numFmtId="49" fontId="0" fillId="0" borderId="0" xfId="0" applyNumberFormat="1" applyFont="1" applyBorder="1" applyAlignment="1">
      <alignment/>
    </xf>
    <xf numFmtId="0" fontId="0" fillId="0" borderId="0" xfId="0" applyFont="1" applyAlignment="1">
      <alignment/>
    </xf>
    <xf numFmtId="2" fontId="0" fillId="0" borderId="20" xfId="0" applyNumberFormat="1" applyFont="1" applyBorder="1" applyAlignment="1">
      <alignment horizontal="left" vertical="center" wrapText="1"/>
    </xf>
    <xf numFmtId="49" fontId="0" fillId="47" borderId="20" xfId="0" applyNumberFormat="1" applyFont="1" applyFill="1" applyBorder="1" applyAlignment="1">
      <alignment/>
    </xf>
    <xf numFmtId="3" fontId="8" fillId="47" borderId="20" xfId="284" applyNumberFormat="1" applyFont="1" applyFill="1" applyBorder="1" applyAlignment="1" applyProtection="1">
      <alignment horizontal="center" vertical="center"/>
      <protection/>
    </xf>
    <xf numFmtId="49" fontId="0" fillId="47" borderId="0" xfId="285" applyNumberFormat="1" applyFont="1" applyFill="1" applyBorder="1" applyAlignment="1">
      <alignment horizontal="left"/>
      <protection/>
    </xf>
    <xf numFmtId="49" fontId="0" fillId="0" borderId="0" xfId="285" applyNumberFormat="1" applyFont="1">
      <alignment/>
      <protection/>
    </xf>
    <xf numFmtId="49" fontId="0" fillId="0" borderId="0" xfId="285" applyNumberFormat="1">
      <alignment/>
      <protection/>
    </xf>
    <xf numFmtId="49" fontId="0" fillId="0" borderId="0" xfId="285" applyNumberFormat="1" applyFont="1" applyAlignment="1">
      <alignment horizontal="left"/>
      <protection/>
    </xf>
    <xf numFmtId="49" fontId="0" fillId="0" borderId="0" xfId="285" applyNumberFormat="1" applyFont="1" applyBorder="1" applyAlignment="1">
      <alignment wrapText="1"/>
      <protection/>
    </xf>
    <xf numFmtId="49" fontId="20" fillId="0" borderId="0" xfId="285" applyNumberFormat="1" applyFont="1" applyAlignment="1">
      <alignment/>
      <protection/>
    </xf>
    <xf numFmtId="49" fontId="0" fillId="0" borderId="0" xfId="285" applyNumberFormat="1" applyFont="1" applyBorder="1" applyAlignment="1">
      <alignment horizontal="left" wrapText="1"/>
      <protection/>
    </xf>
    <xf numFmtId="49" fontId="23" fillId="0" borderId="0" xfId="285" applyNumberFormat="1" applyFont="1" applyAlignment="1">
      <alignment horizontal="left"/>
      <protection/>
    </xf>
    <xf numFmtId="49" fontId="0" fillId="0" borderId="0" xfId="285" applyNumberFormat="1" applyFont="1" applyFill="1" applyAlignment="1">
      <alignment/>
      <protection/>
    </xf>
    <xf numFmtId="49" fontId="0" fillId="0" borderId="0" xfId="285" applyNumberFormat="1" applyFont="1" applyFill="1" applyAlignment="1">
      <alignment horizontal="center"/>
      <protection/>
    </xf>
    <xf numFmtId="49" fontId="0" fillId="0" borderId="0" xfId="285" applyNumberFormat="1" applyFont="1" applyAlignment="1">
      <alignment horizontal="center"/>
      <protection/>
    </xf>
    <xf numFmtId="49" fontId="0" fillId="0" borderId="0" xfId="285" applyNumberFormat="1" applyFont="1" applyFill="1">
      <alignment/>
      <protection/>
    </xf>
    <xf numFmtId="49" fontId="18" fillId="47" borderId="22" xfId="285" applyNumberFormat="1" applyFont="1" applyFill="1" applyBorder="1" applyAlignment="1">
      <alignment/>
      <protection/>
    </xf>
    <xf numFmtId="49" fontId="12" fillId="0" borderId="20" xfId="285" applyNumberFormat="1" applyFont="1" applyFill="1" applyBorder="1" applyAlignment="1">
      <alignment horizontal="center" vertical="center" wrapText="1"/>
      <protection/>
    </xf>
    <xf numFmtId="49" fontId="59" fillId="48" borderId="20" xfId="285" applyNumberFormat="1" applyFont="1" applyFill="1" applyBorder="1" applyAlignment="1">
      <alignment horizontal="center"/>
      <protection/>
    </xf>
    <xf numFmtId="49" fontId="12" fillId="0" borderId="21" xfId="285" applyNumberFormat="1" applyFont="1" applyFill="1" applyBorder="1" applyAlignment="1">
      <alignment horizontal="center" vertical="center" wrapText="1"/>
      <protection/>
    </xf>
    <xf numFmtId="49" fontId="12" fillId="0" borderId="20" xfId="285" applyNumberFormat="1" applyFont="1" applyBorder="1" applyAlignment="1">
      <alignment horizontal="center" vertical="center" wrapText="1"/>
      <protection/>
    </xf>
    <xf numFmtId="49" fontId="60" fillId="0" borderId="20" xfId="285" applyNumberFormat="1" applyFont="1" applyFill="1" applyBorder="1" applyAlignment="1">
      <alignment horizontal="center" vertical="center" wrapText="1"/>
      <protection/>
    </xf>
    <xf numFmtId="49" fontId="23" fillId="0" borderId="20" xfId="285" applyNumberFormat="1" applyFont="1" applyBorder="1" applyAlignment="1">
      <alignment horizontal="center" vertical="center"/>
      <protection/>
    </xf>
    <xf numFmtId="3" fontId="0" fillId="0" borderId="20" xfId="285" applyNumberFormat="1" applyFont="1" applyBorder="1" applyAlignment="1">
      <alignment horizontal="center" vertical="center"/>
      <protection/>
    </xf>
    <xf numFmtId="3" fontId="0" fillId="0" borderId="20" xfId="285" applyNumberFormat="1" applyFont="1" applyBorder="1" applyAlignment="1">
      <alignment vertical="center"/>
      <protection/>
    </xf>
    <xf numFmtId="49" fontId="0" fillId="0" borderId="0" xfId="285" applyNumberFormat="1" applyAlignment="1">
      <alignment vertical="center"/>
      <protection/>
    </xf>
    <xf numFmtId="3" fontId="58" fillId="3" borderId="20" xfId="285" applyNumberFormat="1" applyFont="1" applyFill="1" applyBorder="1" applyAlignment="1">
      <alignment vertical="center"/>
      <protection/>
    </xf>
    <xf numFmtId="3" fontId="63" fillId="3" borderId="20" xfId="285" applyNumberFormat="1" applyFont="1" applyFill="1" applyBorder="1" applyAlignment="1">
      <alignment vertical="center"/>
      <protection/>
    </xf>
    <xf numFmtId="49" fontId="64" fillId="0" borderId="20" xfId="285" applyNumberFormat="1" applyFont="1" applyBorder="1" applyAlignment="1">
      <alignment horizontal="center" vertical="center"/>
      <protection/>
    </xf>
    <xf numFmtId="3" fontId="30" fillId="44" borderId="20" xfId="285" applyNumberFormat="1" applyFont="1" applyFill="1" applyBorder="1" applyAlignment="1">
      <alignment vertical="center"/>
      <protection/>
    </xf>
    <xf numFmtId="3" fontId="7" fillId="48" borderId="20" xfId="285" applyNumberFormat="1" applyFont="1" applyFill="1" applyBorder="1" applyAlignment="1">
      <alignment horizontal="center" vertical="center"/>
      <protection/>
    </xf>
    <xf numFmtId="3" fontId="7" fillId="48" borderId="20" xfId="285" applyNumberFormat="1" applyFont="1" applyFill="1" applyBorder="1" applyAlignment="1">
      <alignment vertical="center"/>
      <protection/>
    </xf>
    <xf numFmtId="49" fontId="12" fillId="44" borderId="20" xfId="285" applyNumberFormat="1" applyFont="1" applyFill="1" applyBorder="1" applyAlignment="1">
      <alignment horizontal="center" vertical="center"/>
      <protection/>
    </xf>
    <xf numFmtId="49" fontId="12" fillId="44" borderId="20" xfId="285" applyNumberFormat="1" applyFont="1" applyFill="1" applyBorder="1" applyAlignment="1">
      <alignment horizontal="left" vertical="center"/>
      <protection/>
    </xf>
    <xf numFmtId="3" fontId="34" fillId="48" borderId="20" xfId="285" applyNumberFormat="1" applyFont="1" applyFill="1" applyBorder="1" applyAlignment="1">
      <alignment vertical="center"/>
      <protection/>
    </xf>
    <xf numFmtId="3" fontId="34" fillId="0" borderId="20" xfId="285" applyNumberFormat="1" applyFont="1" applyFill="1" applyBorder="1" applyAlignment="1">
      <alignment vertical="center"/>
      <protection/>
    </xf>
    <xf numFmtId="9" fontId="0" fillId="0" borderId="0" xfId="298" applyFont="1" applyAlignment="1">
      <alignment vertical="center"/>
    </xf>
    <xf numFmtId="49" fontId="12" fillId="44" borderId="23" xfId="285" applyNumberFormat="1" applyFont="1" applyFill="1" applyBorder="1" applyAlignment="1">
      <alignment horizontal="center" vertical="center"/>
      <protection/>
    </xf>
    <xf numFmtId="3" fontId="30" fillId="44" borderId="20" xfId="285" applyNumberFormat="1" applyFont="1" applyFill="1" applyBorder="1" applyAlignment="1">
      <alignment vertical="center"/>
      <protection/>
    </xf>
    <xf numFmtId="49" fontId="8" fillId="0" borderId="20" xfId="285" applyNumberFormat="1" applyFont="1" applyBorder="1" applyAlignment="1">
      <alignment horizontal="center" vertical="center"/>
      <protection/>
    </xf>
    <xf numFmtId="49" fontId="8" fillId="47" borderId="20" xfId="285" applyNumberFormat="1" applyFont="1" applyFill="1" applyBorder="1" applyAlignment="1">
      <alignment horizontal="left" vertical="center"/>
      <protection/>
    </xf>
    <xf numFmtId="49" fontId="10" fillId="47" borderId="20" xfId="285" applyNumberFormat="1" applyFont="1" applyFill="1" applyBorder="1" applyAlignment="1">
      <alignment horizontal="left" vertical="center"/>
      <protection/>
    </xf>
    <xf numFmtId="3" fontId="34" fillId="0" borderId="20" xfId="287" applyNumberFormat="1" applyFont="1" applyFill="1" applyBorder="1" applyAlignment="1">
      <alignment vertical="center"/>
      <protection/>
    </xf>
    <xf numFmtId="49" fontId="25" fillId="0" borderId="0" xfId="285" applyNumberFormat="1" applyFont="1" applyAlignment="1">
      <alignment vertical="center"/>
      <protection/>
    </xf>
    <xf numFmtId="49" fontId="8" fillId="47" borderId="20" xfId="285" applyNumberFormat="1" applyFont="1" applyFill="1" applyBorder="1" applyAlignment="1">
      <alignment horizontal="left" vertical="center"/>
      <protection/>
    </xf>
    <xf numFmtId="3" fontId="34" fillId="0" borderId="20" xfId="287" applyNumberFormat="1" applyFont="1" applyFill="1" applyBorder="1" applyAlignment="1">
      <alignment horizontal="center" vertical="center"/>
      <protection/>
    </xf>
    <xf numFmtId="49" fontId="0" fillId="0" borderId="0" xfId="285" applyNumberFormat="1" applyFill="1">
      <alignment/>
      <protection/>
    </xf>
    <xf numFmtId="49" fontId="25" fillId="0" borderId="0" xfId="285" applyNumberFormat="1" applyFont="1">
      <alignment/>
      <protection/>
    </xf>
    <xf numFmtId="49" fontId="34" fillId="0" borderId="0" xfId="285" applyNumberFormat="1" applyFont="1" applyFill="1" applyBorder="1" applyAlignment="1">
      <alignment horizontal="center" wrapText="1"/>
      <protection/>
    </xf>
    <xf numFmtId="49" fontId="65" fillId="0" borderId="0" xfId="285" applyNumberFormat="1" applyFont="1" applyBorder="1">
      <alignment/>
      <protection/>
    </xf>
    <xf numFmtId="49" fontId="66" fillId="0" borderId="0" xfId="285" applyNumberFormat="1" applyFont="1">
      <alignment/>
      <protection/>
    </xf>
    <xf numFmtId="49" fontId="1" fillId="0" borderId="0" xfId="285" applyNumberFormat="1" applyFont="1">
      <alignment/>
      <protection/>
    </xf>
    <xf numFmtId="9" fontId="1" fillId="0" borderId="0" xfId="298" applyFont="1" applyAlignment="1">
      <alignment/>
    </xf>
    <xf numFmtId="49" fontId="67" fillId="0" borderId="0" xfId="285" applyNumberFormat="1" applyFont="1" applyBorder="1">
      <alignment/>
      <protection/>
    </xf>
    <xf numFmtId="49" fontId="30" fillId="0" borderId="0" xfId="285" applyNumberFormat="1" applyFont="1" applyBorder="1" applyAlignment="1">
      <alignment horizontal="center" wrapText="1"/>
      <protection/>
    </xf>
    <xf numFmtId="49" fontId="30" fillId="0" borderId="0" xfId="285" applyNumberFormat="1" applyFont="1" applyFill="1" applyBorder="1" applyAlignment="1">
      <alignment horizontal="center" wrapText="1"/>
      <protection/>
    </xf>
    <xf numFmtId="49" fontId="68" fillId="0" borderId="0" xfId="285" applyNumberFormat="1" applyFont="1" applyBorder="1">
      <alignment/>
      <protection/>
    </xf>
    <xf numFmtId="49" fontId="69" fillId="0" borderId="0" xfId="285" applyNumberFormat="1" applyFont="1" applyBorder="1" applyAlignment="1">
      <alignment wrapText="1"/>
      <protection/>
    </xf>
    <xf numFmtId="49" fontId="6" fillId="0" borderId="0" xfId="285" applyNumberFormat="1" applyFont="1" applyBorder="1">
      <alignment/>
      <protection/>
    </xf>
    <xf numFmtId="49" fontId="46" fillId="0" borderId="0" xfId="285" applyNumberFormat="1" applyFont="1" applyBorder="1" applyAlignment="1">
      <alignment horizontal="center" wrapText="1"/>
      <protection/>
    </xf>
    <xf numFmtId="49" fontId="46" fillId="0" borderId="0" xfId="285" applyNumberFormat="1" applyFont="1" applyFill="1" applyBorder="1" applyAlignment="1">
      <alignment horizontal="center" wrapText="1"/>
      <protection/>
    </xf>
    <xf numFmtId="49" fontId="70" fillId="0" borderId="0" xfId="285" applyNumberFormat="1" applyFont="1" applyBorder="1">
      <alignment/>
      <protection/>
    </xf>
    <xf numFmtId="49" fontId="34" fillId="0" borderId="0" xfId="285" applyNumberFormat="1" applyFont="1">
      <alignment/>
      <protection/>
    </xf>
    <xf numFmtId="49" fontId="34" fillId="0" borderId="0" xfId="285" applyNumberFormat="1" applyFont="1" applyFill="1">
      <alignment/>
      <protection/>
    </xf>
    <xf numFmtId="49" fontId="34" fillId="47" borderId="0" xfId="285" applyNumberFormat="1" applyFont="1" applyFill="1">
      <alignment/>
      <protection/>
    </xf>
    <xf numFmtId="0" fontId="30" fillId="0" borderId="0" xfId="285" applyFont="1" applyAlignment="1">
      <alignment horizontal="center"/>
      <protection/>
    </xf>
    <xf numFmtId="49" fontId="30" fillId="47" borderId="0" xfId="285" applyNumberFormat="1" applyFont="1" applyFill="1" applyAlignment="1">
      <alignment horizontal="center"/>
      <protection/>
    </xf>
    <xf numFmtId="0" fontId="72" fillId="0" borderId="0" xfId="285" applyFont="1" applyAlignment="1">
      <alignment/>
      <protection/>
    </xf>
    <xf numFmtId="0" fontId="7" fillId="0" borderId="0" xfId="285" applyFont="1" applyAlignment="1">
      <alignment/>
      <protection/>
    </xf>
    <xf numFmtId="49" fontId="37" fillId="0" borderId="0" xfId="285" applyNumberFormat="1" applyFont="1">
      <alignment/>
      <protection/>
    </xf>
    <xf numFmtId="3" fontId="0" fillId="0" borderId="0" xfId="285" applyNumberFormat="1" applyFont="1" applyFill="1">
      <alignment/>
      <protection/>
    </xf>
    <xf numFmtId="49" fontId="7" fillId="0" borderId="0" xfId="285" applyNumberFormat="1" applyFont="1" applyFill="1" applyAlignment="1">
      <alignment wrapText="1"/>
      <protection/>
    </xf>
    <xf numFmtId="49" fontId="0" fillId="0" borderId="0" xfId="285" applyNumberFormat="1" applyFont="1" applyFill="1" applyBorder="1" applyAlignment="1">
      <alignment/>
      <protection/>
    </xf>
    <xf numFmtId="49" fontId="0" fillId="0" borderId="0" xfId="285" applyNumberFormat="1" applyFont="1" applyFill="1" applyBorder="1">
      <alignment/>
      <protection/>
    </xf>
    <xf numFmtId="49" fontId="24" fillId="0" borderId="22" xfId="285" applyNumberFormat="1" applyFont="1" applyFill="1" applyBorder="1" applyAlignment="1">
      <alignment/>
      <protection/>
    </xf>
    <xf numFmtId="49" fontId="10" fillId="0" borderId="22" xfId="285" applyNumberFormat="1" applyFont="1" applyFill="1" applyBorder="1" applyAlignment="1">
      <alignment horizontal="center"/>
      <protection/>
    </xf>
    <xf numFmtId="49" fontId="0" fillId="0" borderId="0" xfId="285" applyNumberFormat="1" applyFill="1" applyBorder="1">
      <alignment/>
      <protection/>
    </xf>
    <xf numFmtId="49" fontId="11" fillId="0" borderId="20" xfId="285" applyNumberFormat="1" applyFont="1" applyFill="1" applyBorder="1" applyAlignment="1">
      <alignment horizontal="center" vertical="center" wrapText="1"/>
      <protection/>
    </xf>
    <xf numFmtId="49" fontId="24" fillId="0" borderId="20" xfId="285" applyNumberFormat="1" applyFont="1" applyFill="1" applyBorder="1" applyAlignment="1">
      <alignment horizontal="center" vertical="center" wrapText="1"/>
      <protection/>
    </xf>
    <xf numFmtId="3" fontId="35" fillId="3" borderId="20" xfId="285" applyNumberFormat="1" applyFont="1" applyFill="1" applyBorder="1" applyAlignment="1">
      <alignment horizontal="center" vertical="center" wrapText="1"/>
      <protection/>
    </xf>
    <xf numFmtId="3" fontId="75" fillId="3" borderId="20" xfId="285" applyNumberFormat="1" applyFont="1" applyFill="1" applyBorder="1" applyAlignment="1">
      <alignment horizontal="center" vertical="center" wrapText="1"/>
      <protection/>
    </xf>
    <xf numFmtId="3" fontId="11" fillId="44" borderId="20" xfId="285" applyNumberFormat="1" applyFont="1" applyFill="1" applyBorder="1" applyAlignment="1">
      <alignment horizontal="center" vertical="center" wrapText="1"/>
      <protection/>
    </xf>
    <xf numFmtId="49" fontId="12" fillId="0" borderId="20" xfId="285" applyNumberFormat="1" applyFont="1" applyFill="1" applyBorder="1" applyAlignment="1">
      <alignment horizontal="center"/>
      <protection/>
    </xf>
    <xf numFmtId="49" fontId="12" fillId="0" borderId="20" xfId="285" applyNumberFormat="1" applyFont="1" applyFill="1" applyBorder="1" applyAlignment="1">
      <alignment horizontal="left"/>
      <protection/>
    </xf>
    <xf numFmtId="3" fontId="10" fillId="44" borderId="20" xfId="285" applyNumberFormat="1" applyFont="1" applyFill="1" applyBorder="1" applyAlignment="1">
      <alignment horizontal="center" vertical="center" wrapText="1"/>
      <protection/>
    </xf>
    <xf numFmtId="3" fontId="10" fillId="0" borderId="20" xfId="285" applyNumberFormat="1" applyFont="1" applyFill="1" applyBorder="1" applyAlignment="1">
      <alignment horizontal="center" vertical="center" wrapText="1"/>
      <protection/>
    </xf>
    <xf numFmtId="9" fontId="0" fillId="0" borderId="0" xfId="298" applyFont="1" applyFill="1" applyAlignment="1">
      <alignment/>
    </xf>
    <xf numFmtId="49" fontId="12" fillId="44" borderId="23" xfId="285" applyNumberFormat="1" applyFont="1" applyFill="1" applyBorder="1" applyAlignment="1">
      <alignment horizontal="center"/>
      <protection/>
    </xf>
    <xf numFmtId="49" fontId="12" fillId="44" borderId="20" xfId="285" applyNumberFormat="1" applyFont="1" applyFill="1" applyBorder="1" applyAlignment="1">
      <alignment horizontal="left"/>
      <protection/>
    </xf>
    <xf numFmtId="49" fontId="8" fillId="0" borderId="23" xfId="285" applyNumberFormat="1" applyFont="1" applyFill="1" applyBorder="1" applyAlignment="1">
      <alignment horizontal="center"/>
      <protection/>
    </xf>
    <xf numFmtId="49" fontId="8" fillId="47" borderId="20" xfId="285" applyNumberFormat="1" applyFont="1" applyFill="1" applyBorder="1" applyAlignment="1">
      <alignment horizontal="left"/>
      <protection/>
    </xf>
    <xf numFmtId="3" fontId="10" fillId="47" borderId="20" xfId="285" applyNumberFormat="1" applyFont="1" applyFill="1" applyBorder="1" applyAlignment="1">
      <alignment horizontal="center" vertical="center" wrapText="1"/>
      <protection/>
    </xf>
    <xf numFmtId="49" fontId="10" fillId="47" borderId="20" xfId="285" applyNumberFormat="1" applyFont="1" applyFill="1" applyBorder="1" applyAlignment="1">
      <alignment horizontal="left"/>
      <protection/>
    </xf>
    <xf numFmtId="49" fontId="11" fillId="0" borderId="19" xfId="285" applyNumberFormat="1" applyFont="1" applyFill="1" applyBorder="1" applyAlignment="1">
      <alignment horizontal="center"/>
      <protection/>
    </xf>
    <xf numFmtId="49" fontId="11" fillId="0" borderId="19" xfId="285" applyNumberFormat="1" applyFont="1" applyFill="1" applyBorder="1" applyAlignment="1">
      <alignment horizontal="left"/>
      <protection/>
    </xf>
    <xf numFmtId="3" fontId="10" fillId="0" borderId="19" xfId="285" applyNumberFormat="1" applyFont="1" applyFill="1" applyBorder="1" applyAlignment="1">
      <alignment horizontal="center" vertical="center" wrapText="1"/>
      <protection/>
    </xf>
    <xf numFmtId="49" fontId="20" fillId="0" borderId="0" xfId="285" applyNumberFormat="1" applyFont="1" applyFill="1" applyBorder="1" applyAlignment="1">
      <alignment vertical="center" wrapText="1"/>
      <protection/>
    </xf>
    <xf numFmtId="49" fontId="76" fillId="0" borderId="0" xfId="285" applyNumberFormat="1" applyFont="1" applyFill="1">
      <alignment/>
      <protection/>
    </xf>
    <xf numFmtId="49" fontId="8" fillId="0" borderId="0" xfId="285" applyNumberFormat="1" applyFont="1" applyFill="1">
      <alignment/>
      <protection/>
    </xf>
    <xf numFmtId="49" fontId="0" fillId="47" borderId="0" xfId="285" applyNumberFormat="1" applyFont="1" applyFill="1">
      <alignment/>
      <protection/>
    </xf>
    <xf numFmtId="49" fontId="7" fillId="47" borderId="0" xfId="285" applyNumberFormat="1" applyFont="1" applyFill="1" applyAlignment="1">
      <alignment horizontal="center"/>
      <protection/>
    </xf>
    <xf numFmtId="49" fontId="27" fillId="0" borderId="0" xfId="285" applyNumberFormat="1" applyFont="1" applyFill="1">
      <alignment/>
      <protection/>
    </xf>
    <xf numFmtId="49" fontId="7" fillId="0" borderId="0" xfId="285" applyNumberFormat="1" applyFont="1" applyFill="1">
      <alignment/>
      <protection/>
    </xf>
    <xf numFmtId="49" fontId="18" fillId="0" borderId="0" xfId="285" applyNumberFormat="1" applyFont="1" applyFill="1" applyAlignment="1">
      <alignment/>
      <protection/>
    </xf>
    <xf numFmtId="49" fontId="18" fillId="0" borderId="0" xfId="285" applyNumberFormat="1" applyFont="1" applyFill="1" applyAlignment="1">
      <alignment wrapText="1"/>
      <protection/>
    </xf>
    <xf numFmtId="49" fontId="18" fillId="0" borderId="0" xfId="285" applyNumberFormat="1" applyFont="1" applyFill="1" applyAlignment="1">
      <alignment horizontal="left" wrapText="1"/>
      <protection/>
    </xf>
    <xf numFmtId="49" fontId="0" fillId="0" borderId="0" xfId="285" applyNumberFormat="1" applyAlignment="1">
      <alignment horizontal="left"/>
      <protection/>
    </xf>
    <xf numFmtId="49" fontId="0" fillId="0" borderId="0" xfId="285" applyNumberFormat="1" applyFont="1" applyBorder="1" applyAlignment="1">
      <alignment horizontal="left"/>
      <protection/>
    </xf>
    <xf numFmtId="49" fontId="18" fillId="0" borderId="20" xfId="285" applyNumberFormat="1" applyFont="1" applyBorder="1" applyAlignment="1">
      <alignment horizontal="center"/>
      <protection/>
    </xf>
    <xf numFmtId="3" fontId="8" fillId="4" borderId="20" xfId="287" applyNumberFormat="1" applyFont="1" applyFill="1" applyBorder="1" applyAlignment="1">
      <alignment horizontal="center" vertical="center"/>
      <protection/>
    </xf>
    <xf numFmtId="3" fontId="38" fillId="47" borderId="20" xfId="285" applyNumberFormat="1" applyFont="1" applyFill="1" applyBorder="1" applyAlignment="1">
      <alignment horizontal="center" vertical="center"/>
      <protection/>
    </xf>
    <xf numFmtId="3" fontId="22" fillId="3" borderId="20" xfId="285" applyNumberFormat="1" applyFont="1" applyFill="1" applyBorder="1" applyAlignment="1">
      <alignment horizontal="center" vertical="center"/>
      <protection/>
    </xf>
    <xf numFmtId="3" fontId="40" fillId="3" borderId="20" xfId="285" applyNumberFormat="1" applyFont="1" applyFill="1" applyBorder="1" applyAlignment="1">
      <alignment horizontal="center" vertical="center"/>
      <protection/>
    </xf>
    <xf numFmtId="3" fontId="12" fillId="44" borderId="20" xfId="285" applyNumberFormat="1" applyFont="1" applyFill="1" applyBorder="1" applyAlignment="1">
      <alignment horizontal="center" vertical="center"/>
      <protection/>
    </xf>
    <xf numFmtId="3" fontId="12" fillId="44" borderId="20" xfId="285" applyNumberFormat="1" applyFont="1" applyFill="1" applyBorder="1" applyAlignment="1">
      <alignment horizontal="center" vertical="center"/>
      <protection/>
    </xf>
    <xf numFmtId="3" fontId="12" fillId="4" borderId="20" xfId="287" applyNumberFormat="1" applyFont="1" applyFill="1" applyBorder="1" applyAlignment="1">
      <alignment horizontal="center" vertical="center"/>
      <protection/>
    </xf>
    <xf numFmtId="49" fontId="12" fillId="0" borderId="20" xfId="285" applyNumberFormat="1" applyFont="1" applyBorder="1" applyAlignment="1">
      <alignment horizontal="center" vertical="center"/>
      <protection/>
    </xf>
    <xf numFmtId="49" fontId="12" fillId="47" borderId="20" xfId="285" applyNumberFormat="1" applyFont="1" applyFill="1" applyBorder="1" applyAlignment="1">
      <alignment horizontal="left" vertical="center"/>
      <protection/>
    </xf>
    <xf numFmtId="3" fontId="8" fillId="47" borderId="20" xfId="285" applyNumberFormat="1" applyFont="1" applyFill="1" applyBorder="1" applyAlignment="1">
      <alignment horizontal="center" vertical="center"/>
      <protection/>
    </xf>
    <xf numFmtId="3" fontId="8" fillId="44" borderId="20" xfId="285" applyNumberFormat="1" applyFont="1" applyFill="1" applyBorder="1" applyAlignment="1">
      <alignment horizontal="center" vertical="center"/>
      <protection/>
    </xf>
    <xf numFmtId="49" fontId="8" fillId="0" borderId="23" xfId="285" applyNumberFormat="1" applyFont="1" applyBorder="1" applyAlignment="1">
      <alignment horizontal="center" vertical="center"/>
      <protection/>
    </xf>
    <xf numFmtId="49" fontId="0" fillId="0" borderId="0" xfId="285" applyNumberFormat="1" applyFont="1" applyAlignment="1">
      <alignment vertical="center"/>
      <protection/>
    </xf>
    <xf numFmtId="3" fontId="8" fillId="0" borderId="20" xfId="285" applyNumberFormat="1" applyFont="1" applyFill="1" applyBorder="1" applyAlignment="1">
      <alignment horizontal="center" vertical="center"/>
      <protection/>
    </xf>
    <xf numFmtId="3" fontId="8" fillId="47" borderId="20" xfId="287" applyNumberFormat="1" applyFont="1" applyFill="1" applyBorder="1" applyAlignment="1">
      <alignment horizontal="center" vertical="center"/>
      <protection/>
    </xf>
    <xf numFmtId="49" fontId="8" fillId="47" borderId="23" xfId="285" applyNumberFormat="1" applyFont="1" applyFill="1" applyBorder="1" applyAlignment="1">
      <alignment horizontal="center" vertical="center"/>
      <protection/>
    </xf>
    <xf numFmtId="9" fontId="25" fillId="0" borderId="0" xfId="298" applyFont="1" applyAlignment="1">
      <alignment vertical="center"/>
    </xf>
    <xf numFmtId="49" fontId="8" fillId="0" borderId="0" xfId="285" applyNumberFormat="1" applyFont="1" applyBorder="1" applyAlignment="1">
      <alignment horizontal="center"/>
      <protection/>
    </xf>
    <xf numFmtId="49" fontId="8" fillId="47" borderId="0" xfId="285" applyNumberFormat="1" applyFont="1" applyFill="1" applyBorder="1" applyAlignment="1">
      <alignment horizontal="left"/>
      <protection/>
    </xf>
    <xf numFmtId="49" fontId="0" fillId="0" borderId="0" xfId="285" applyNumberFormat="1" applyFont="1" applyFill="1" applyBorder="1" applyAlignment="1">
      <alignment horizontal="center"/>
      <protection/>
    </xf>
    <xf numFmtId="3" fontId="8" fillId="47" borderId="19" xfId="287" applyNumberFormat="1" applyFont="1" applyFill="1" applyBorder="1" applyAlignment="1">
      <alignment horizontal="center" vertical="center"/>
      <protection/>
    </xf>
    <xf numFmtId="9" fontId="0" fillId="0" borderId="0" xfId="298" applyFont="1" applyAlignment="1">
      <alignment/>
    </xf>
    <xf numFmtId="49" fontId="34" fillId="0" borderId="0" xfId="285" applyNumberFormat="1" applyFont="1" applyBorder="1" applyAlignment="1">
      <alignment wrapText="1"/>
      <protection/>
    </xf>
    <xf numFmtId="3" fontId="8" fillId="47" borderId="0" xfId="287" applyNumberFormat="1" applyFont="1" applyFill="1" applyBorder="1" applyAlignment="1">
      <alignment horizontal="center" vertical="center"/>
      <protection/>
    </xf>
    <xf numFmtId="49" fontId="34" fillId="0" borderId="0" xfId="285" applyNumberFormat="1" applyFont="1" applyAlignment="1">
      <alignment wrapText="1"/>
      <protection/>
    </xf>
    <xf numFmtId="49" fontId="43" fillId="0" borderId="0" xfId="285" applyNumberFormat="1" applyFont="1">
      <alignment/>
      <protection/>
    </xf>
    <xf numFmtId="49" fontId="43" fillId="0" borderId="0" xfId="285" applyNumberFormat="1" applyFont="1" applyAlignment="1">
      <alignment wrapText="1"/>
      <protection/>
    </xf>
    <xf numFmtId="49" fontId="7" fillId="47" borderId="0" xfId="285" applyNumberFormat="1" applyFont="1" applyFill="1" applyAlignment="1">
      <alignment/>
      <protection/>
    </xf>
    <xf numFmtId="49" fontId="78" fillId="0" borderId="0" xfId="285" applyNumberFormat="1" applyFont="1">
      <alignment/>
      <protection/>
    </xf>
    <xf numFmtId="49" fontId="18" fillId="0" borderId="0" xfId="285" applyNumberFormat="1" applyFont="1" applyBorder="1" applyAlignment="1">
      <alignment wrapText="1"/>
      <protection/>
    </xf>
    <xf numFmtId="49" fontId="0" fillId="0" borderId="0" xfId="288" applyNumberFormat="1" applyFont="1" applyAlignment="1">
      <alignment horizontal="left"/>
      <protection/>
    </xf>
    <xf numFmtId="49" fontId="19" fillId="0" borderId="0" xfId="288" applyNumberFormat="1" applyFont="1" applyAlignment="1">
      <alignment wrapText="1"/>
      <protection/>
    </xf>
    <xf numFmtId="49" fontId="7" fillId="47" borderId="0" xfId="288" applyNumberFormat="1" applyFont="1" applyFill="1" applyBorder="1" applyAlignment="1">
      <alignment horizontal="left"/>
      <protection/>
    </xf>
    <xf numFmtId="49" fontId="0" fillId="47" borderId="0" xfId="288" applyNumberFormat="1" applyFont="1" applyFill="1" applyBorder="1" applyAlignment="1">
      <alignment horizontal="left"/>
      <protection/>
    </xf>
    <xf numFmtId="49" fontId="32" fillId="0" borderId="0" xfId="288" applyNumberFormat="1" applyFont="1">
      <alignment/>
      <protection/>
    </xf>
    <xf numFmtId="49" fontId="0" fillId="47" borderId="0" xfId="288" applyNumberFormat="1" applyFont="1" applyFill="1" applyBorder="1" applyAlignment="1">
      <alignment/>
      <protection/>
    </xf>
    <xf numFmtId="49" fontId="7" fillId="0" borderId="0" xfId="288" applyNumberFormat="1" applyFont="1" applyBorder="1" applyAlignment="1">
      <alignment horizontal="left"/>
      <protection/>
    </xf>
    <xf numFmtId="49" fontId="0" fillId="0" borderId="0" xfId="288" applyNumberFormat="1" applyFont="1" applyBorder="1" applyAlignment="1">
      <alignment horizontal="left"/>
      <protection/>
    </xf>
    <xf numFmtId="49" fontId="0" fillId="0" borderId="0" xfId="288" applyNumberFormat="1" applyFont="1" applyBorder="1" applyAlignment="1">
      <alignment/>
      <protection/>
    </xf>
    <xf numFmtId="49" fontId="23" fillId="0" borderId="22" xfId="288" applyNumberFormat="1" applyFont="1" applyBorder="1" applyAlignment="1">
      <alignment horizontal="left"/>
      <protection/>
    </xf>
    <xf numFmtId="49" fontId="7" fillId="0" borderId="22" xfId="288" applyNumberFormat="1" applyFont="1" applyBorder="1" applyAlignment="1">
      <alignment horizontal="left"/>
      <protection/>
    </xf>
    <xf numFmtId="49" fontId="32" fillId="0" borderId="0" xfId="288" applyNumberFormat="1" applyFont="1" applyFill="1">
      <alignment/>
      <protection/>
    </xf>
    <xf numFmtId="49" fontId="32" fillId="0" borderId="0" xfId="288" applyNumberFormat="1" applyFont="1" applyAlignment="1">
      <alignment vertical="center"/>
      <protection/>
    </xf>
    <xf numFmtId="49" fontId="11" fillId="47" borderId="20" xfId="288" applyNumberFormat="1" applyFont="1" applyFill="1" applyBorder="1" applyAlignment="1">
      <alignment horizontal="left" vertical="center"/>
      <protection/>
    </xf>
    <xf numFmtId="49" fontId="1" fillId="0" borderId="0" xfId="288" applyNumberFormat="1" applyFont="1">
      <alignment/>
      <protection/>
    </xf>
    <xf numFmtId="49" fontId="34" fillId="0" borderId="0" xfId="288" applyNumberFormat="1" applyFont="1" applyBorder="1" applyAlignment="1">
      <alignment/>
      <protection/>
    </xf>
    <xf numFmtId="49" fontId="85" fillId="0" borderId="0" xfId="288" applyNumberFormat="1" applyFont="1">
      <alignment/>
      <protection/>
    </xf>
    <xf numFmtId="49" fontId="30" fillId="0" borderId="0" xfId="288" applyNumberFormat="1" applyFont="1" applyBorder="1" applyAlignment="1">
      <alignment/>
      <protection/>
    </xf>
    <xf numFmtId="49" fontId="10" fillId="0" borderId="0" xfId="288" applyNumberFormat="1" applyFont="1">
      <alignment/>
      <protection/>
    </xf>
    <xf numFmtId="49" fontId="34" fillId="0" borderId="0" xfId="288" applyNumberFormat="1" applyFont="1" applyAlignment="1">
      <alignment horizontal="center"/>
      <protection/>
    </xf>
    <xf numFmtId="49" fontId="34" fillId="0" borderId="0" xfId="288" applyNumberFormat="1" applyFont="1">
      <alignment/>
      <protection/>
    </xf>
    <xf numFmtId="49" fontId="85" fillId="0" borderId="0" xfId="288" applyNumberFormat="1" applyFont="1" applyAlignment="1">
      <alignment horizontal="center"/>
      <protection/>
    </xf>
    <xf numFmtId="49" fontId="18" fillId="0" borderId="0" xfId="288" applyNumberFormat="1" applyFont="1" applyBorder="1" applyAlignment="1">
      <alignment wrapText="1"/>
      <protection/>
    </xf>
    <xf numFmtId="49" fontId="87" fillId="0" borderId="0" xfId="288" applyNumberFormat="1" applyFont="1">
      <alignment/>
      <protection/>
    </xf>
    <xf numFmtId="9" fontId="32" fillId="0" borderId="0" xfId="298" applyFont="1" applyAlignment="1">
      <alignment/>
    </xf>
    <xf numFmtId="3" fontId="0" fillId="47" borderId="0" xfId="288" applyNumberFormat="1" applyFont="1" applyFill="1" applyBorder="1" applyAlignment="1">
      <alignment/>
      <protection/>
    </xf>
    <xf numFmtId="0" fontId="32" fillId="0" borderId="0" xfId="288">
      <alignment/>
      <protection/>
    </xf>
    <xf numFmtId="0" fontId="0" fillId="0" borderId="0" xfId="288" applyFont="1" applyAlignment="1">
      <alignment horizontal="left"/>
      <protection/>
    </xf>
    <xf numFmtId="0" fontId="0" fillId="0" borderId="0" xfId="288" applyFont="1" applyBorder="1" applyAlignment="1">
      <alignment/>
      <protection/>
    </xf>
    <xf numFmtId="0" fontId="0" fillId="0" borderId="0" xfId="288" applyFont="1" applyBorder="1" applyAlignment="1">
      <alignment horizontal="left"/>
      <protection/>
    </xf>
    <xf numFmtId="0" fontId="32" fillId="0" borderId="0" xfId="288" applyFont="1">
      <alignment/>
      <protection/>
    </xf>
    <xf numFmtId="0" fontId="11" fillId="0" borderId="20" xfId="288" applyFont="1" applyBorder="1" applyAlignment="1">
      <alignment horizontal="center" vertical="center"/>
      <protection/>
    </xf>
    <xf numFmtId="0" fontId="11" fillId="47" borderId="20" xfId="288" applyFont="1" applyFill="1" applyBorder="1" applyAlignment="1">
      <alignment horizontal="left" vertical="center"/>
      <protection/>
    </xf>
    <xf numFmtId="9" fontId="32" fillId="0" borderId="0" xfId="298" applyFont="1" applyAlignment="1">
      <alignment vertical="center"/>
    </xf>
    <xf numFmtId="0" fontId="10" fillId="0" borderId="23" xfId="288" applyFont="1" applyBorder="1" applyAlignment="1">
      <alignment horizontal="center" vertical="center"/>
      <protection/>
    </xf>
    <xf numFmtId="0" fontId="32" fillId="0" borderId="0" xfId="288" applyFont="1" applyAlignment="1">
      <alignment vertical="center"/>
      <protection/>
    </xf>
    <xf numFmtId="0" fontId="1" fillId="0" borderId="0" xfId="288" applyFont="1">
      <alignment/>
      <protection/>
    </xf>
    <xf numFmtId="0" fontId="30" fillId="0" borderId="0" xfId="288" applyFont="1" applyBorder="1" applyAlignment="1">
      <alignment horizontal="center" wrapText="1"/>
      <protection/>
    </xf>
    <xf numFmtId="0" fontId="34" fillId="0" borderId="0" xfId="288" applyFont="1" applyBorder="1" applyAlignment="1">
      <alignment wrapText="1"/>
      <protection/>
    </xf>
    <xf numFmtId="0" fontId="30" fillId="0" borderId="0" xfId="288" applyNumberFormat="1" applyFont="1" applyBorder="1" applyAlignment="1">
      <alignment/>
      <protection/>
    </xf>
    <xf numFmtId="0" fontId="85" fillId="0" borderId="0" xfId="288" applyFont="1">
      <alignment/>
      <protection/>
    </xf>
    <xf numFmtId="0" fontId="30" fillId="0" borderId="0" xfId="288" applyNumberFormat="1" applyFont="1" applyBorder="1" applyAlignment="1">
      <alignment horizontal="center"/>
      <protection/>
    </xf>
    <xf numFmtId="0" fontId="10" fillId="0" borderId="0" xfId="288" applyFont="1">
      <alignment/>
      <protection/>
    </xf>
    <xf numFmtId="0" fontId="34" fillId="0" borderId="0" xfId="288" applyFont="1">
      <alignment/>
      <protection/>
    </xf>
    <xf numFmtId="0" fontId="30" fillId="0" borderId="0" xfId="285" applyFont="1" applyAlignment="1">
      <alignment/>
      <protection/>
    </xf>
    <xf numFmtId="49" fontId="24" fillId="0" borderId="0" xfId="288" applyNumberFormat="1" applyFont="1">
      <alignment/>
      <protection/>
    </xf>
    <xf numFmtId="49" fontId="8" fillId="47" borderId="0" xfId="288" applyNumberFormat="1" applyFont="1" applyFill="1" applyBorder="1" applyAlignment="1">
      <alignment horizontal="left"/>
      <protection/>
    </xf>
    <xf numFmtId="49" fontId="8" fillId="0" borderId="0" xfId="288" applyNumberFormat="1" applyFont="1" applyBorder="1" applyAlignment="1">
      <alignment horizontal="left"/>
      <protection/>
    </xf>
    <xf numFmtId="49" fontId="0" fillId="0" borderId="22" xfId="288" applyNumberFormat="1" applyFont="1" applyBorder="1" applyAlignment="1">
      <alignment/>
      <protection/>
    </xf>
    <xf numFmtId="49" fontId="11" fillId="0" borderId="20" xfId="288" applyNumberFormat="1" applyFont="1" applyFill="1" applyBorder="1" applyAlignment="1">
      <alignment horizontal="center" vertical="center" wrapText="1"/>
      <protection/>
    </xf>
    <xf numFmtId="49" fontId="10" fillId="0" borderId="24" xfId="288" applyNumberFormat="1" applyFont="1" applyFill="1" applyBorder="1">
      <alignment/>
      <protection/>
    </xf>
    <xf numFmtId="49" fontId="10" fillId="0" borderId="0" xfId="288" applyNumberFormat="1" applyFont="1" applyFill="1">
      <alignment/>
      <protection/>
    </xf>
    <xf numFmtId="49" fontId="29" fillId="0" borderId="0" xfId="288" applyNumberFormat="1" applyFont="1" applyFill="1">
      <alignment/>
      <protection/>
    </xf>
    <xf numFmtId="49" fontId="11" fillId="0" borderId="25" xfId="288" applyNumberFormat="1" applyFont="1" applyFill="1" applyBorder="1" applyAlignment="1">
      <alignment horizontal="center" vertical="center" wrapText="1"/>
      <protection/>
    </xf>
    <xf numFmtId="49" fontId="24" fillId="0" borderId="20" xfId="288" applyNumberFormat="1" applyFont="1" applyFill="1" applyBorder="1" applyAlignment="1">
      <alignment horizontal="center" vertical="center"/>
      <protection/>
    </xf>
    <xf numFmtId="49" fontId="24" fillId="0" borderId="20" xfId="288" applyNumberFormat="1" applyFont="1" applyBorder="1" applyAlignment="1">
      <alignment horizontal="center" vertical="center"/>
      <protection/>
    </xf>
    <xf numFmtId="49" fontId="10" fillId="0" borderId="0" xfId="288" applyNumberFormat="1" applyFont="1" applyAlignment="1">
      <alignment vertical="center"/>
      <protection/>
    </xf>
    <xf numFmtId="3" fontId="35" fillId="3" borderId="20" xfId="288" applyNumberFormat="1" applyFont="1" applyFill="1" applyBorder="1" applyAlignment="1">
      <alignment horizontal="center" vertical="center"/>
      <protection/>
    </xf>
    <xf numFmtId="3" fontId="75" fillId="3" borderId="20" xfId="288" applyNumberFormat="1" applyFont="1" applyFill="1" applyBorder="1" applyAlignment="1">
      <alignment horizontal="center" vertical="center"/>
      <protection/>
    </xf>
    <xf numFmtId="3" fontId="35" fillId="4" borderId="20" xfId="288" applyNumberFormat="1" applyFont="1" applyFill="1" applyBorder="1" applyAlignment="1">
      <alignment horizontal="center" vertical="center"/>
      <protection/>
    </xf>
    <xf numFmtId="3" fontId="11" fillId="44" borderId="20" xfId="288" applyNumberFormat="1" applyFont="1" applyFill="1" applyBorder="1" applyAlignment="1">
      <alignment horizontal="center" vertical="center"/>
      <protection/>
    </xf>
    <xf numFmtId="49" fontId="11" fillId="0" borderId="20" xfId="288" applyNumberFormat="1" applyFont="1" applyBorder="1" applyAlignment="1">
      <alignment horizontal="center" vertical="center"/>
      <protection/>
    </xf>
    <xf numFmtId="3" fontId="10" fillId="47" borderId="20" xfId="288" applyNumberFormat="1" applyFont="1" applyFill="1" applyBorder="1" applyAlignment="1">
      <alignment horizontal="center" vertical="center"/>
      <protection/>
    </xf>
    <xf numFmtId="49" fontId="11" fillId="0" borderId="23" xfId="288" applyNumberFormat="1" applyFont="1" applyBorder="1" applyAlignment="1">
      <alignment horizontal="center" vertical="center"/>
      <protection/>
    </xf>
    <xf numFmtId="49" fontId="10" fillId="0" borderId="23" xfId="288" applyNumberFormat="1" applyFont="1" applyBorder="1" applyAlignment="1">
      <alignment horizontal="center" vertical="center"/>
      <protection/>
    </xf>
    <xf numFmtId="3" fontId="10" fillId="0" borderId="20" xfId="288" applyNumberFormat="1" applyFont="1" applyBorder="1" applyAlignment="1">
      <alignment horizontal="center" vertical="center"/>
      <protection/>
    </xf>
    <xf numFmtId="49" fontId="93" fillId="0" borderId="0" xfId="288" applyNumberFormat="1" applyFont="1">
      <alignment/>
      <protection/>
    </xf>
    <xf numFmtId="49" fontId="32" fillId="0" borderId="0" xfId="288" applyNumberFormat="1">
      <alignment/>
      <protection/>
    </xf>
    <xf numFmtId="49" fontId="34" fillId="0" borderId="0" xfId="288" applyNumberFormat="1" applyFont="1" applyBorder="1" applyAlignment="1">
      <alignment wrapText="1"/>
      <protection/>
    </xf>
    <xf numFmtId="49" fontId="26" fillId="0" borderId="0" xfId="288" applyNumberFormat="1" applyFont="1">
      <alignment/>
      <protection/>
    </xf>
    <xf numFmtId="49" fontId="37" fillId="0" borderId="0" xfId="288" applyNumberFormat="1" applyFont="1">
      <alignment/>
      <protection/>
    </xf>
    <xf numFmtId="49" fontId="37" fillId="0" borderId="0" xfId="288" applyNumberFormat="1" applyFont="1" applyAlignment="1">
      <alignment horizontal="center"/>
      <protection/>
    </xf>
    <xf numFmtId="0" fontId="8" fillId="0" borderId="0" xfId="288" applyNumberFormat="1" applyFont="1" applyAlignment="1">
      <alignment horizontal="left"/>
      <protection/>
    </xf>
    <xf numFmtId="0" fontId="10" fillId="0" borderId="0" xfId="288" applyFont="1" applyAlignment="1">
      <alignment/>
      <protection/>
    </xf>
    <xf numFmtId="3" fontId="10" fillId="0" borderId="0" xfId="288" applyNumberFormat="1" applyFont="1">
      <alignment/>
      <protection/>
    </xf>
    <xf numFmtId="0" fontId="12" fillId="0" borderId="0" xfId="288" applyFont="1" applyBorder="1" applyAlignment="1">
      <alignment/>
      <protection/>
    </xf>
    <xf numFmtId="0" fontId="32" fillId="0" borderId="24" xfId="288" applyFont="1" applyBorder="1">
      <alignment/>
      <protection/>
    </xf>
    <xf numFmtId="0" fontId="32" fillId="0" borderId="0" xfId="288" applyFont="1" applyBorder="1">
      <alignment/>
      <protection/>
    </xf>
    <xf numFmtId="0" fontId="17" fillId="0" borderId="20" xfId="288" applyFont="1" applyBorder="1" applyAlignment="1">
      <alignment horizontal="center" vertical="center" wrapText="1"/>
      <protection/>
    </xf>
    <xf numFmtId="0" fontId="24" fillId="0" borderId="23" xfId="288" applyFont="1" applyFill="1" applyBorder="1" applyAlignment="1">
      <alignment horizontal="center" vertical="center"/>
      <protection/>
    </xf>
    <xf numFmtId="0" fontId="24" fillId="0" borderId="20" xfId="288" applyFont="1" applyFill="1" applyBorder="1" applyAlignment="1">
      <alignment horizontal="center" vertical="center"/>
      <protection/>
    </xf>
    <xf numFmtId="0" fontId="24" fillId="0" borderId="20" xfId="288" applyFont="1" applyBorder="1" applyAlignment="1">
      <alignment horizontal="center" vertical="center"/>
      <protection/>
    </xf>
    <xf numFmtId="3" fontId="25" fillId="3" borderId="20" xfId="288" applyNumberFormat="1" applyFont="1" applyFill="1" applyBorder="1" applyAlignment="1">
      <alignment horizontal="center" vertical="center"/>
      <protection/>
    </xf>
    <xf numFmtId="3" fontId="41" fillId="3" borderId="20" xfId="288" applyNumberFormat="1" applyFont="1" applyFill="1" applyBorder="1" applyAlignment="1">
      <alignment horizontal="center" vertical="center"/>
      <protection/>
    </xf>
    <xf numFmtId="3" fontId="7" fillId="44" borderId="23" xfId="288" applyNumberFormat="1" applyFont="1" applyFill="1" applyBorder="1" applyAlignment="1">
      <alignment horizontal="center" vertical="center"/>
      <protection/>
    </xf>
    <xf numFmtId="3" fontId="0" fillId="48" borderId="23" xfId="288" applyNumberFormat="1" applyFont="1" applyFill="1" applyBorder="1" applyAlignment="1">
      <alignment horizontal="center" vertical="center"/>
      <protection/>
    </xf>
    <xf numFmtId="3" fontId="0" fillId="0" borderId="20" xfId="288" applyNumberFormat="1" applyFont="1" applyBorder="1" applyAlignment="1">
      <alignment horizontal="center" vertical="center"/>
      <protection/>
    </xf>
    <xf numFmtId="3" fontId="0" fillId="0" borderId="26" xfId="288" applyNumberFormat="1" applyFont="1" applyBorder="1" applyAlignment="1">
      <alignment horizontal="center" vertical="center"/>
      <protection/>
    </xf>
    <xf numFmtId="0" fontId="11" fillId="0" borderId="23" xfId="288" applyFont="1" applyBorder="1" applyAlignment="1">
      <alignment horizontal="center" vertical="center"/>
      <protection/>
    </xf>
    <xf numFmtId="3" fontId="0" fillId="44" borderId="23" xfId="288" applyNumberFormat="1" applyFont="1" applyFill="1" applyBorder="1" applyAlignment="1">
      <alignment horizontal="center" vertical="center"/>
      <protection/>
    </xf>
    <xf numFmtId="3" fontId="0" fillId="47" borderId="20" xfId="288" applyNumberFormat="1" applyFont="1" applyFill="1" applyBorder="1" applyAlignment="1">
      <alignment horizontal="center" vertical="center"/>
      <protection/>
    </xf>
    <xf numFmtId="3" fontId="0" fillId="47" borderId="26" xfId="288" applyNumberFormat="1" applyFont="1" applyFill="1" applyBorder="1" applyAlignment="1">
      <alignment horizontal="center" vertical="center"/>
      <protection/>
    </xf>
    <xf numFmtId="0" fontId="34" fillId="0" borderId="0" xfId="288" applyNumberFormat="1" applyFont="1" applyBorder="1" applyAlignment="1">
      <alignment/>
      <protection/>
    </xf>
    <xf numFmtId="0" fontId="94" fillId="0" borderId="0" xfId="288" applyFont="1">
      <alignment/>
      <protection/>
    </xf>
    <xf numFmtId="0" fontId="21" fillId="0" borderId="0" xfId="288" applyFont="1">
      <alignment/>
      <protection/>
    </xf>
    <xf numFmtId="0" fontId="33" fillId="0" borderId="0" xfId="288" applyFont="1">
      <alignment/>
      <protection/>
    </xf>
    <xf numFmtId="0" fontId="18" fillId="0" borderId="0" xfId="288" applyFont="1">
      <alignment/>
      <protection/>
    </xf>
    <xf numFmtId="49" fontId="18" fillId="0" borderId="0" xfId="288" applyNumberFormat="1" applyFont="1">
      <alignment/>
      <protection/>
    </xf>
    <xf numFmtId="0" fontId="87" fillId="0" borderId="0" xfId="288" applyFont="1">
      <alignment/>
      <protection/>
    </xf>
    <xf numFmtId="49" fontId="23" fillId="0" borderId="0" xfId="288" applyNumberFormat="1" applyFont="1" applyBorder="1" applyAlignment="1">
      <alignment/>
      <protection/>
    </xf>
    <xf numFmtId="49" fontId="32" fillId="0" borderId="0" xfId="288" applyNumberFormat="1" applyFont="1" applyAlignment="1">
      <alignment horizontal="center"/>
      <protection/>
    </xf>
    <xf numFmtId="3" fontId="24" fillId="47" borderId="22" xfId="288" applyNumberFormat="1" applyFont="1" applyFill="1" applyBorder="1" applyAlignment="1">
      <alignment horizontal="center"/>
      <protection/>
    </xf>
    <xf numFmtId="49" fontId="10" fillId="0" borderId="22" xfId="288" applyNumberFormat="1" applyFont="1" applyBorder="1" applyAlignment="1">
      <alignment/>
      <protection/>
    </xf>
    <xf numFmtId="49" fontId="32" fillId="0" borderId="0" xfId="288" applyNumberFormat="1" applyFill="1">
      <alignment/>
      <protection/>
    </xf>
    <xf numFmtId="49" fontId="32" fillId="0" borderId="0" xfId="288" applyNumberFormat="1" applyFill="1" applyAlignment="1">
      <alignment vertical="center" wrapText="1"/>
      <protection/>
    </xf>
    <xf numFmtId="49" fontId="32" fillId="0" borderId="0" xfId="288" applyNumberFormat="1" applyAlignment="1">
      <alignment vertical="center"/>
      <protection/>
    </xf>
    <xf numFmtId="3" fontId="10" fillId="44" borderId="20" xfId="288" applyNumberFormat="1" applyFont="1" applyFill="1" applyBorder="1" applyAlignment="1">
      <alignment horizontal="center" vertical="center"/>
      <protection/>
    </xf>
    <xf numFmtId="3" fontId="32" fillId="0" borderId="20" xfId="288" applyNumberFormat="1" applyFont="1" applyBorder="1" applyAlignment="1">
      <alignment horizontal="center" vertical="center"/>
      <protection/>
    </xf>
    <xf numFmtId="0" fontId="10" fillId="0" borderId="20" xfId="288" applyFont="1" applyBorder="1" applyAlignment="1">
      <alignment horizontal="center" vertical="center"/>
      <protection/>
    </xf>
    <xf numFmtId="3" fontId="10" fillId="0" borderId="20" xfId="288" applyNumberFormat="1" applyFont="1" applyFill="1" applyBorder="1" applyAlignment="1">
      <alignment horizontal="center" vertical="center"/>
      <protection/>
    </xf>
    <xf numFmtId="3" fontId="32" fillId="0" borderId="20" xfId="288" applyNumberFormat="1" applyFont="1" applyFill="1" applyBorder="1" applyAlignment="1">
      <alignment horizontal="center" vertical="center"/>
      <protection/>
    </xf>
    <xf numFmtId="49" fontId="32" fillId="0" borderId="0" xfId="288" applyNumberFormat="1" applyAlignment="1">
      <alignment horizontal="center"/>
      <protection/>
    </xf>
    <xf numFmtId="49" fontId="78" fillId="0" borderId="0" xfId="288" applyNumberFormat="1" applyFont="1" applyAlignment="1">
      <alignment horizontal="left"/>
      <protection/>
    </xf>
    <xf numFmtId="49" fontId="37" fillId="0" borderId="0" xfId="288" applyNumberFormat="1" applyFont="1" applyAlignment="1">
      <alignment/>
      <protection/>
    </xf>
    <xf numFmtId="49" fontId="7" fillId="47" borderId="0" xfId="288" applyNumberFormat="1" applyFont="1" applyFill="1" applyBorder="1" applyAlignment="1">
      <alignment/>
      <protection/>
    </xf>
    <xf numFmtId="49" fontId="7" fillId="0" borderId="0" xfId="288" applyNumberFormat="1" applyFont="1" applyAlignment="1">
      <alignment/>
      <protection/>
    </xf>
    <xf numFmtId="49" fontId="7" fillId="0" borderId="0" xfId="288" applyNumberFormat="1" applyFont="1" applyBorder="1" applyAlignment="1">
      <alignment/>
      <protection/>
    </xf>
    <xf numFmtId="49" fontId="11" fillId="0" borderId="22" xfId="288" applyNumberFormat="1" applyFont="1" applyBorder="1" applyAlignment="1">
      <alignment/>
      <protection/>
    </xf>
    <xf numFmtId="3" fontId="24" fillId="0" borderId="20" xfId="288" applyNumberFormat="1" applyFont="1" applyBorder="1" applyAlignment="1">
      <alignment horizontal="center" vertical="center"/>
      <protection/>
    </xf>
    <xf numFmtId="49" fontId="32" fillId="47" borderId="0" xfId="288" applyNumberFormat="1" applyFont="1" applyFill="1" applyAlignment="1">
      <alignment vertical="center"/>
      <protection/>
    </xf>
    <xf numFmtId="3" fontId="32" fillId="47" borderId="20" xfId="288" applyNumberFormat="1" applyFont="1" applyFill="1" applyBorder="1" applyAlignment="1">
      <alignment horizontal="center" vertical="center"/>
      <protection/>
    </xf>
    <xf numFmtId="3" fontId="97" fillId="0" borderId="20" xfId="288" applyNumberFormat="1" applyFont="1" applyBorder="1" applyAlignment="1">
      <alignment horizontal="center" vertical="center"/>
      <protection/>
    </xf>
    <xf numFmtId="0" fontId="10" fillId="0" borderId="19" xfId="288" applyFont="1" applyFill="1" applyBorder="1" applyAlignment="1">
      <alignment horizontal="center" vertical="center"/>
      <protection/>
    </xf>
    <xf numFmtId="49" fontId="11" fillId="0" borderId="19" xfId="285" applyNumberFormat="1" applyFont="1" applyFill="1" applyBorder="1" applyAlignment="1">
      <alignment horizontal="left" vertical="center"/>
      <protection/>
    </xf>
    <xf numFmtId="3" fontId="10" fillId="0" borderId="19" xfId="288" applyNumberFormat="1" applyFont="1" applyFill="1" applyBorder="1" applyAlignment="1">
      <alignment horizontal="center" vertical="center"/>
      <protection/>
    </xf>
    <xf numFmtId="3" fontId="24" fillId="0" borderId="19" xfId="288" applyNumberFormat="1" applyFont="1" applyFill="1" applyBorder="1" applyAlignment="1">
      <alignment horizontal="center" vertical="center"/>
      <protection/>
    </xf>
    <xf numFmtId="3" fontId="32" fillId="0" borderId="19" xfId="288" applyNumberFormat="1" applyFont="1" applyFill="1" applyBorder="1" applyAlignment="1">
      <alignment vertical="center"/>
      <protection/>
    </xf>
    <xf numFmtId="3" fontId="98" fillId="0" borderId="19" xfId="288" applyNumberFormat="1" applyFont="1" applyFill="1" applyBorder="1" applyAlignment="1">
      <alignment vertical="center"/>
      <protection/>
    </xf>
    <xf numFmtId="49" fontId="37" fillId="0" borderId="0" xfId="288" applyNumberFormat="1" applyFont="1" applyBorder="1" applyAlignment="1">
      <alignment/>
      <protection/>
    </xf>
    <xf numFmtId="49" fontId="34" fillId="0" borderId="0" xfId="288" applyNumberFormat="1" applyFont="1" applyBorder="1" applyAlignment="1">
      <alignment horizontal="center"/>
      <protection/>
    </xf>
    <xf numFmtId="49" fontId="34" fillId="0" borderId="0" xfId="288" applyNumberFormat="1" applyFont="1" applyAlignment="1">
      <alignment/>
      <protection/>
    </xf>
    <xf numFmtId="0" fontId="10" fillId="47" borderId="0" xfId="288" applyFont="1" applyFill="1" applyBorder="1" applyAlignment="1">
      <alignment/>
      <protection/>
    </xf>
    <xf numFmtId="49" fontId="99" fillId="0" borderId="0" xfId="288" applyNumberFormat="1" applyFont="1">
      <alignment/>
      <protection/>
    </xf>
    <xf numFmtId="49" fontId="100" fillId="0" borderId="0" xfId="288" applyNumberFormat="1" applyFont="1">
      <alignment/>
      <protection/>
    </xf>
    <xf numFmtId="49" fontId="101" fillId="0" borderId="0" xfId="288" applyNumberFormat="1" applyFont="1" applyAlignment="1">
      <alignment horizontal="center"/>
      <protection/>
    </xf>
    <xf numFmtId="49" fontId="30" fillId="47" borderId="0" xfId="285" applyNumberFormat="1" applyFont="1" applyFill="1" applyAlignment="1">
      <alignment/>
      <protection/>
    </xf>
    <xf numFmtId="49" fontId="86" fillId="0" borderId="0" xfId="288" applyNumberFormat="1" applyFont="1">
      <alignment/>
      <protection/>
    </xf>
    <xf numFmtId="49" fontId="37" fillId="0" borderId="0" xfId="288" applyNumberFormat="1" applyFont="1" applyBorder="1" applyAlignment="1">
      <alignment wrapText="1"/>
      <protection/>
    </xf>
    <xf numFmtId="49" fontId="89" fillId="0" borderId="0" xfId="288" applyNumberFormat="1" applyFont="1">
      <alignment/>
      <protection/>
    </xf>
    <xf numFmtId="49" fontId="84" fillId="0" borderId="0" xfId="288" applyNumberFormat="1" applyFont="1">
      <alignment/>
      <protection/>
    </xf>
    <xf numFmtId="49" fontId="19" fillId="0" borderId="0" xfId="288" applyNumberFormat="1" applyFont="1" applyFill="1" applyAlignment="1">
      <alignment wrapText="1"/>
      <protection/>
    </xf>
    <xf numFmtId="49" fontId="0" fillId="0" borderId="0" xfId="288" applyNumberFormat="1" applyFont="1" applyFill="1" applyBorder="1" applyAlignment="1">
      <alignment/>
      <protection/>
    </xf>
    <xf numFmtId="49" fontId="7" fillId="0" borderId="0" xfId="288" applyNumberFormat="1" applyFont="1" applyFill="1" applyBorder="1" applyAlignment="1">
      <alignment/>
      <protection/>
    </xf>
    <xf numFmtId="49" fontId="102" fillId="0" borderId="0" xfId="288" applyNumberFormat="1" applyFont="1" applyFill="1">
      <alignment/>
      <protection/>
    </xf>
    <xf numFmtId="49" fontId="32" fillId="0" borderId="0" xfId="288" applyNumberFormat="1" applyFont="1" applyFill="1" applyAlignment="1">
      <alignment horizontal="center"/>
      <protection/>
    </xf>
    <xf numFmtId="49" fontId="24" fillId="0" borderId="0" xfId="288" applyNumberFormat="1" applyFont="1" applyFill="1" applyBorder="1" applyAlignment="1">
      <alignment/>
      <protection/>
    </xf>
    <xf numFmtId="49" fontId="11" fillId="0" borderId="0" xfId="288" applyNumberFormat="1" applyFont="1" applyFill="1" applyBorder="1" applyAlignment="1">
      <alignment/>
      <protection/>
    </xf>
    <xf numFmtId="49" fontId="88" fillId="0" borderId="0" xfId="288" applyNumberFormat="1" applyFont="1" applyFill="1">
      <alignment/>
      <protection/>
    </xf>
    <xf numFmtId="49" fontId="88" fillId="0" borderId="0" xfId="288" applyNumberFormat="1" applyFont="1" applyFill="1" applyAlignment="1">
      <alignment/>
      <protection/>
    </xf>
    <xf numFmtId="49" fontId="24" fillId="0" borderId="27" xfId="288" applyNumberFormat="1" applyFont="1" applyFill="1" applyBorder="1" applyAlignment="1">
      <alignment horizontal="center" vertical="center"/>
      <protection/>
    </xf>
    <xf numFmtId="3" fontId="11" fillId="44" borderId="27" xfId="288" applyNumberFormat="1" applyFont="1" applyFill="1" applyBorder="1" applyAlignment="1">
      <alignment horizontal="center" vertical="center"/>
      <protection/>
    </xf>
    <xf numFmtId="3" fontId="11" fillId="44" borderId="23" xfId="288" applyNumberFormat="1" applyFont="1" applyFill="1" applyBorder="1" applyAlignment="1">
      <alignment horizontal="center" vertical="center"/>
      <protection/>
    </xf>
    <xf numFmtId="49" fontId="7" fillId="0" borderId="0" xfId="288" applyNumberFormat="1" applyFont="1" applyAlignment="1">
      <alignment horizontal="center"/>
      <protection/>
    </xf>
    <xf numFmtId="49" fontId="30" fillId="0" borderId="0" xfId="288" applyNumberFormat="1" applyFont="1">
      <alignment/>
      <protection/>
    </xf>
    <xf numFmtId="49" fontId="7" fillId="0" borderId="0" xfId="288" applyNumberFormat="1" applyFont="1">
      <alignment/>
      <protection/>
    </xf>
    <xf numFmtId="49" fontId="34" fillId="0" borderId="0" xfId="288" applyNumberFormat="1" applyFont="1">
      <alignment/>
      <protection/>
    </xf>
    <xf numFmtId="3" fontId="7" fillId="47" borderId="0" xfId="288" applyNumberFormat="1" applyFont="1" applyFill="1" applyBorder="1" applyAlignment="1">
      <alignment/>
      <protection/>
    </xf>
    <xf numFmtId="0" fontId="7" fillId="0" borderId="0" xfId="288" applyFont="1">
      <alignment/>
      <protection/>
    </xf>
    <xf numFmtId="0" fontId="8" fillId="0" borderId="0" xfId="288" applyFont="1" applyBorder="1" applyAlignment="1">
      <alignment horizontal="left"/>
      <protection/>
    </xf>
    <xf numFmtId="3" fontId="0" fillId="0" borderId="0" xfId="288" applyNumberFormat="1" applyFont="1" applyAlignment="1">
      <alignment horizontal="left"/>
      <protection/>
    </xf>
    <xf numFmtId="0" fontId="18" fillId="0" borderId="0" xfId="288" applyFont="1" applyBorder="1" applyAlignment="1">
      <alignment/>
      <protection/>
    </xf>
    <xf numFmtId="0" fontId="12" fillId="0" borderId="20" xfId="288" applyFont="1" applyFill="1" applyBorder="1" applyAlignment="1">
      <alignment horizontal="center" vertical="center" wrapText="1"/>
      <protection/>
    </xf>
    <xf numFmtId="0" fontId="7" fillId="0" borderId="0" xfId="288" applyFont="1" applyFill="1" applyBorder="1">
      <alignment/>
      <protection/>
    </xf>
    <xf numFmtId="0" fontId="7" fillId="0" borderId="0" xfId="288" applyFont="1" applyFill="1">
      <alignment/>
      <protection/>
    </xf>
    <xf numFmtId="3" fontId="23" fillId="0" borderId="20" xfId="288" applyNumberFormat="1" applyFont="1" applyBorder="1" applyAlignment="1">
      <alignment horizontal="center" vertical="center"/>
      <protection/>
    </xf>
    <xf numFmtId="0" fontId="0" fillId="0" borderId="0" xfId="288" applyFont="1" applyAlignment="1">
      <alignment horizontal="center" vertical="center"/>
      <protection/>
    </xf>
    <xf numFmtId="3" fontId="8" fillId="44" borderId="20" xfId="288" applyNumberFormat="1" applyFont="1" applyFill="1" applyBorder="1" applyAlignment="1">
      <alignment horizontal="center" vertical="center"/>
      <protection/>
    </xf>
    <xf numFmtId="0" fontId="7" fillId="0" borderId="0" xfId="288" applyFont="1" applyAlignment="1">
      <alignment vertical="center"/>
      <protection/>
    </xf>
    <xf numFmtId="9" fontId="7" fillId="0" borderId="0" xfId="298" applyFont="1" applyAlignment="1">
      <alignment vertical="center"/>
    </xf>
    <xf numFmtId="0" fontId="7" fillId="0" borderId="0" xfId="288" applyFont="1" applyAlignment="1">
      <alignment horizontal="center"/>
      <protection/>
    </xf>
    <xf numFmtId="0" fontId="30" fillId="0" borderId="0" xfId="288" applyFont="1">
      <alignment/>
      <protection/>
    </xf>
    <xf numFmtId="0" fontId="78" fillId="0" borderId="0" xfId="288" applyFont="1" applyAlignment="1">
      <alignment horizontal="center"/>
      <protection/>
    </xf>
    <xf numFmtId="49" fontId="58" fillId="0" borderId="0" xfId="288" applyNumberFormat="1" applyFont="1">
      <alignment/>
      <protection/>
    </xf>
    <xf numFmtId="49" fontId="103" fillId="0" borderId="0" xfId="288" applyNumberFormat="1" applyFont="1" applyBorder="1" applyAlignment="1">
      <alignment wrapText="1"/>
      <protection/>
    </xf>
    <xf numFmtId="0" fontId="37" fillId="0" borderId="0" xfId="288"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6" fillId="47" borderId="28" xfId="0" applyNumberFormat="1" applyFont="1" applyFill="1" applyBorder="1" applyAlignment="1">
      <alignment/>
    </xf>
    <xf numFmtId="3" fontId="8" fillId="47" borderId="25" xfId="284"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8" fillId="47" borderId="28" xfId="284"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8" fillId="47" borderId="29" xfId="284"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34" fillId="47" borderId="20" xfId="0" applyNumberFormat="1" applyFont="1" applyFill="1" applyBorder="1" applyAlignment="1">
      <alignment/>
    </xf>
    <xf numFmtId="3" fontId="34" fillId="47" borderId="20" xfId="284" applyNumberFormat="1" applyFont="1" applyFill="1" applyBorder="1" applyAlignment="1" applyProtection="1">
      <alignment horizontal="center" vertical="center"/>
      <protection/>
    </xf>
    <xf numFmtId="49" fontId="37" fillId="47" borderId="20" xfId="0" applyNumberFormat="1" applyFont="1" applyFill="1" applyBorder="1" applyAlignment="1">
      <alignment/>
    </xf>
    <xf numFmtId="3" fontId="37" fillId="47" borderId="20" xfId="284"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58" fillId="47" borderId="20" xfId="0" applyNumberFormat="1" applyFont="1" applyFill="1" applyBorder="1" applyAlignment="1">
      <alignment/>
    </xf>
    <xf numFmtId="3" fontId="58" fillId="47" borderId="20" xfId="284" applyNumberFormat="1" applyFont="1" applyFill="1" applyBorder="1" applyAlignment="1" applyProtection="1">
      <alignment horizontal="center" vertical="center"/>
      <protection/>
    </xf>
    <xf numFmtId="10" fontId="34" fillId="0" borderId="20" xfId="162" applyNumberFormat="1" applyFont="1" applyFill="1" applyBorder="1" applyAlignment="1">
      <alignment horizontal="center" vertical="center"/>
      <protection/>
    </xf>
    <xf numFmtId="10" fontId="58" fillId="0" borderId="20" xfId="162" applyNumberFormat="1" applyFont="1" applyFill="1" applyBorder="1" applyAlignment="1">
      <alignment horizontal="center" vertical="center"/>
      <protection/>
    </xf>
    <xf numFmtId="49" fontId="0" fillId="47" borderId="20" xfId="0" applyNumberFormat="1" applyFill="1" applyBorder="1" applyAlignment="1">
      <alignment/>
    </xf>
    <xf numFmtId="49" fontId="25" fillId="47" borderId="20" xfId="0" applyNumberFormat="1" applyFont="1" applyFill="1" applyBorder="1" applyAlignment="1">
      <alignment/>
    </xf>
    <xf numFmtId="49" fontId="30" fillId="47" borderId="34" xfId="0" applyNumberFormat="1" applyFont="1" applyFill="1" applyBorder="1" applyAlignment="1">
      <alignment/>
    </xf>
    <xf numFmtId="49" fontId="30" fillId="47" borderId="32" xfId="0" applyNumberFormat="1" applyFont="1" applyFill="1" applyBorder="1" applyAlignment="1">
      <alignment/>
    </xf>
    <xf numFmtId="49" fontId="63" fillId="47" borderId="20" xfId="0" applyNumberFormat="1" applyFont="1" applyFill="1" applyBorder="1" applyAlignment="1">
      <alignment/>
    </xf>
    <xf numFmtId="10" fontId="63" fillId="0" borderId="20" xfId="162" applyNumberFormat="1" applyFont="1" applyFill="1" applyBorder="1" applyAlignment="1">
      <alignment horizontal="center" vertical="center"/>
      <protection/>
    </xf>
    <xf numFmtId="3" fontId="63" fillId="47" borderId="20" xfId="284" applyNumberFormat="1" applyFont="1" applyFill="1" applyBorder="1" applyAlignment="1" applyProtection="1">
      <alignment horizontal="center" vertical="center"/>
      <protection/>
    </xf>
    <xf numFmtId="49" fontId="106" fillId="47" borderId="20" xfId="0" applyNumberFormat="1" applyFont="1" applyFill="1" applyBorder="1" applyAlignment="1">
      <alignment/>
    </xf>
    <xf numFmtId="49" fontId="63" fillId="47" borderId="35" xfId="0" applyNumberFormat="1" applyFont="1" applyFill="1" applyBorder="1" applyAlignment="1">
      <alignment/>
    </xf>
    <xf numFmtId="3" fontId="63" fillId="47" borderId="19" xfId="284" applyNumberFormat="1" applyFont="1" applyFill="1" applyBorder="1" applyAlignment="1" applyProtection="1">
      <alignment horizontal="center" vertical="center"/>
      <protection/>
    </xf>
    <xf numFmtId="10" fontId="63" fillId="0" borderId="36" xfId="162" applyNumberFormat="1" applyFont="1" applyFill="1" applyBorder="1" applyAlignment="1">
      <alignment horizontal="center" vertical="center"/>
      <protection/>
    </xf>
    <xf numFmtId="49" fontId="0" fillId="47" borderId="27" xfId="0" applyNumberFormat="1" applyFont="1" applyFill="1" applyBorder="1" applyAlignment="1">
      <alignment/>
    </xf>
    <xf numFmtId="3" fontId="8" fillId="47" borderId="22" xfId="284" applyNumberFormat="1" applyFont="1" applyFill="1" applyBorder="1" applyAlignment="1" applyProtection="1">
      <alignment horizontal="center" vertical="center"/>
      <protection/>
    </xf>
    <xf numFmtId="3" fontId="8" fillId="47" borderId="37" xfId="284" applyNumberFormat="1" applyFont="1" applyFill="1" applyBorder="1" applyAlignment="1" applyProtection="1">
      <alignment horizontal="center" vertical="center"/>
      <protection/>
    </xf>
    <xf numFmtId="49" fontId="41" fillId="47" borderId="20" xfId="0" applyNumberFormat="1" applyFont="1" applyFill="1" applyBorder="1" applyAlignment="1">
      <alignment/>
    </xf>
    <xf numFmtId="49" fontId="30" fillId="0" borderId="26" xfId="0" applyNumberFormat="1" applyFont="1" applyBorder="1" applyAlignment="1">
      <alignment horizontal="center"/>
    </xf>
    <xf numFmtId="2" fontId="1" fillId="0" borderId="0" xfId="0" applyNumberFormat="1" applyFont="1" applyFill="1" applyAlignment="1">
      <alignment/>
    </xf>
    <xf numFmtId="2" fontId="6" fillId="0" borderId="0" xfId="0" applyNumberFormat="1" applyFont="1" applyFill="1" applyBorder="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0" xfId="0" applyNumberFormat="1" applyFont="1" applyFill="1" applyAlignment="1">
      <alignment horizontal="center"/>
    </xf>
    <xf numFmtId="49" fontId="17" fillId="0" borderId="20" xfId="0" applyNumberFormat="1" applyFont="1" applyFill="1" applyBorder="1" applyAlignment="1">
      <alignment horizontal="center" vertical="center"/>
    </xf>
    <xf numFmtId="1" fontId="11" fillId="0" borderId="20" xfId="0" applyNumberFormat="1" applyFont="1" applyFill="1" applyBorder="1" applyAlignment="1">
      <alignment horizontal="left"/>
    </xf>
    <xf numFmtId="10" fontId="7" fillId="0" borderId="20" xfId="162" applyNumberFormat="1" applyFont="1" applyFill="1" applyBorder="1" applyAlignment="1">
      <alignment horizontal="right" vertical="center"/>
      <protection/>
    </xf>
    <xf numFmtId="49" fontId="7" fillId="4" borderId="20" xfId="0" applyNumberFormat="1" applyFont="1" applyFill="1" applyBorder="1" applyAlignment="1">
      <alignment horizontal="center"/>
    </xf>
    <xf numFmtId="49" fontId="7" fillId="4" borderId="20" xfId="0" applyNumberFormat="1" applyFont="1" applyFill="1" applyBorder="1" applyAlignment="1">
      <alignment/>
    </xf>
    <xf numFmtId="49" fontId="10" fillId="0" borderId="26" xfId="0" applyNumberFormat="1" applyFont="1" applyBorder="1" applyAlignment="1">
      <alignment horizontal="center"/>
    </xf>
    <xf numFmtId="3" fontId="12" fillId="4" borderId="26" xfId="284" applyNumberFormat="1" applyFont="1" applyFill="1" applyBorder="1" applyAlignment="1" applyProtection="1">
      <alignment horizontal="center" vertical="center"/>
      <protection/>
    </xf>
    <xf numFmtId="3" fontId="8" fillId="47" borderId="26" xfId="284" applyNumberFormat="1" applyFont="1" applyFill="1" applyBorder="1" applyAlignment="1" applyProtection="1">
      <alignment horizontal="center" vertical="center"/>
      <protection/>
    </xf>
    <xf numFmtId="2" fontId="3" fillId="0" borderId="0" xfId="0" applyNumberFormat="1" applyFont="1" applyFill="1" applyBorder="1" applyAlignment="1">
      <alignment/>
    </xf>
    <xf numFmtId="2" fontId="3" fillId="0" borderId="0" xfId="0" applyNumberFormat="1" applyFont="1" applyFill="1" applyAlignment="1">
      <alignment/>
    </xf>
    <xf numFmtId="3" fontId="12" fillId="0" borderId="20" xfId="284" applyNumberFormat="1" applyFont="1" applyFill="1" applyBorder="1" applyAlignment="1" applyProtection="1">
      <alignment horizontal="center" vertical="center"/>
      <protection/>
    </xf>
    <xf numFmtId="49" fontId="34" fillId="0" borderId="0" xfId="0" applyNumberFormat="1" applyFont="1" applyAlignment="1">
      <alignment horizontal="center"/>
    </xf>
    <xf numFmtId="49" fontId="34" fillId="0" borderId="0" xfId="0" applyNumberFormat="1" applyFont="1" applyAlignment="1">
      <alignment/>
    </xf>
    <xf numFmtId="49" fontId="37" fillId="0" borderId="19" xfId="0" applyNumberFormat="1" applyFont="1" applyBorder="1" applyAlignment="1">
      <alignment horizontal="left" wrapText="1"/>
    </xf>
    <xf numFmtId="49" fontId="30" fillId="0" borderId="0" xfId="0" applyNumberFormat="1" applyFont="1" applyAlignment="1">
      <alignment horizontal="center"/>
    </xf>
    <xf numFmtId="3" fontId="8" fillId="0" borderId="20" xfId="284" applyNumberFormat="1" applyFont="1" applyFill="1" applyBorder="1" applyAlignment="1" applyProtection="1">
      <alignment horizontal="center" vertical="center"/>
      <protection/>
    </xf>
    <xf numFmtId="49" fontId="8" fillId="0" borderId="0" xfId="0" applyNumberFormat="1" applyFont="1" applyFill="1" applyBorder="1" applyAlignment="1">
      <alignment/>
    </xf>
    <xf numFmtId="49" fontId="8" fillId="0" borderId="0" xfId="0" applyNumberFormat="1" applyFont="1" applyFill="1" applyBorder="1" applyAlignment="1">
      <alignment/>
    </xf>
    <xf numFmtId="49" fontId="107" fillId="0" borderId="0" xfId="0" applyNumberFormat="1" applyFont="1" applyFill="1" applyBorder="1" applyAlignment="1">
      <alignment/>
    </xf>
    <xf numFmtId="49" fontId="108" fillId="0" borderId="0" xfId="0" applyNumberFormat="1" applyFont="1" applyFill="1" applyBorder="1" applyAlignment="1">
      <alignment/>
    </xf>
    <xf numFmtId="10" fontId="0" fillId="0" borderId="20" xfId="162" applyNumberFormat="1" applyFont="1" applyFill="1" applyBorder="1" applyAlignment="1">
      <alignment horizontal="right" vertical="center"/>
      <protection/>
    </xf>
    <xf numFmtId="2" fontId="0" fillId="0" borderId="0" xfId="0" applyNumberFormat="1" applyFont="1" applyFill="1" applyAlignment="1">
      <alignment/>
    </xf>
    <xf numFmtId="2" fontId="0" fillId="0" borderId="0" xfId="0" applyNumberFormat="1" applyFont="1" applyFill="1" applyAlignment="1">
      <alignment horizontal="left"/>
    </xf>
    <xf numFmtId="2" fontId="8" fillId="0" borderId="0" xfId="0" applyNumberFormat="1" applyFont="1" applyFill="1" applyAlignment="1">
      <alignment horizontal="left"/>
    </xf>
    <xf numFmtId="2" fontId="0" fillId="0" borderId="0" xfId="0" applyNumberFormat="1" applyFont="1" applyFill="1" applyAlignment="1">
      <alignment horizontal="left"/>
    </xf>
    <xf numFmtId="2" fontId="23" fillId="0" borderId="0" xfId="0" applyNumberFormat="1" applyFont="1" applyFill="1" applyAlignment="1">
      <alignment/>
    </xf>
    <xf numFmtId="2" fontId="0" fillId="0" borderId="0" xfId="0" applyNumberFormat="1" applyFont="1" applyFill="1" applyAlignment="1">
      <alignment/>
    </xf>
    <xf numFmtId="2" fontId="7" fillId="0" borderId="0" xfId="0" applyNumberFormat="1" applyFont="1" applyFill="1" applyAlignment="1">
      <alignment/>
    </xf>
    <xf numFmtId="2" fontId="8" fillId="0" borderId="0" xfId="0" applyNumberFormat="1" applyFont="1" applyFill="1" applyAlignment="1">
      <alignment/>
    </xf>
    <xf numFmtId="2" fontId="7" fillId="0" borderId="0" xfId="0" applyNumberFormat="1" applyFont="1" applyFill="1" applyAlignment="1">
      <alignment wrapText="1"/>
    </xf>
    <xf numFmtId="49" fontId="0" fillId="0" borderId="0" xfId="0" applyNumberFormat="1" applyFont="1" applyFill="1" applyAlignment="1">
      <alignment/>
    </xf>
    <xf numFmtId="2" fontId="7" fillId="0" borderId="0" xfId="0" applyNumberFormat="1" applyFont="1" applyFill="1" applyBorder="1" applyAlignment="1">
      <alignment/>
    </xf>
    <xf numFmtId="2" fontId="7" fillId="0" borderId="0" xfId="0" applyNumberFormat="1" applyFont="1" applyFill="1" applyBorder="1" applyAlignment="1">
      <alignment wrapText="1"/>
    </xf>
    <xf numFmtId="2" fontId="8" fillId="0" borderId="0" xfId="0" applyNumberFormat="1" applyFont="1" applyFill="1" applyBorder="1" applyAlignment="1">
      <alignment/>
    </xf>
    <xf numFmtId="49" fontId="17" fillId="0" borderId="23" xfId="0" applyNumberFormat="1" applyFont="1" applyFill="1" applyBorder="1" applyAlignment="1">
      <alignment horizontal="center" vertical="center"/>
    </xf>
    <xf numFmtId="2" fontId="11" fillId="0" borderId="23" xfId="0" applyNumberFormat="1" applyFont="1" applyFill="1" applyBorder="1" applyAlignment="1">
      <alignment horizontal="left"/>
    </xf>
    <xf numFmtId="3" fontId="8" fillId="0" borderId="0" xfId="284" applyNumberFormat="1" applyFont="1" applyFill="1" applyBorder="1" applyAlignment="1" applyProtection="1">
      <alignment horizontal="center" vertical="center"/>
      <protection/>
    </xf>
    <xf numFmtId="49" fontId="29" fillId="0" borderId="20" xfId="0" applyNumberFormat="1" applyFont="1" applyFill="1" applyBorder="1" applyAlignment="1">
      <alignment horizontal="center" vertical="center"/>
    </xf>
    <xf numFmtId="1" fontId="10" fillId="0" borderId="20" xfId="0" applyNumberFormat="1" applyFont="1" applyFill="1" applyBorder="1" applyAlignment="1">
      <alignment horizontal="left"/>
    </xf>
    <xf numFmtId="1" fontId="11" fillId="0" borderId="26" xfId="0" applyNumberFormat="1" applyFont="1" applyFill="1" applyBorder="1" applyAlignment="1">
      <alignment horizontal="left"/>
    </xf>
    <xf numFmtId="2" fontId="10" fillId="0" borderId="20" xfId="0" applyNumberFormat="1" applyFont="1" applyFill="1" applyBorder="1" applyAlignment="1">
      <alignment horizontal="left" vertical="center" wrapText="1"/>
    </xf>
    <xf numFmtId="2" fontId="11" fillId="0" borderId="20" xfId="0" applyNumberFormat="1" applyFont="1" applyFill="1" applyBorder="1" applyAlignment="1">
      <alignment horizontal="left" wrapText="1"/>
    </xf>
    <xf numFmtId="2" fontId="0" fillId="0" borderId="0" xfId="0" applyNumberFormat="1" applyFont="1" applyFill="1" applyAlignment="1">
      <alignment/>
    </xf>
    <xf numFmtId="49" fontId="1" fillId="0" borderId="0" xfId="0" applyNumberFormat="1" applyFont="1" applyFill="1" applyBorder="1" applyAlignment="1">
      <alignment/>
    </xf>
    <xf numFmtId="49" fontId="1" fillId="0" borderId="0" xfId="0" applyNumberFormat="1" applyFont="1" applyFill="1" applyAlignment="1">
      <alignment/>
    </xf>
    <xf numFmtId="49" fontId="34" fillId="0" borderId="0" xfId="0" applyNumberFormat="1" applyFont="1" applyBorder="1" applyAlignment="1">
      <alignment horizontal="center"/>
    </xf>
    <xf numFmtId="2" fontId="8" fillId="0" borderId="0" xfId="0" applyNumberFormat="1" applyFont="1" applyFill="1" applyBorder="1" applyAlignment="1">
      <alignment horizontal="left"/>
    </xf>
    <xf numFmtId="2" fontId="11" fillId="0" borderId="20" xfId="0" applyNumberFormat="1" applyFont="1" applyFill="1" applyBorder="1" applyAlignment="1">
      <alignment horizontal="left"/>
    </xf>
    <xf numFmtId="49" fontId="30" fillId="0" borderId="20" xfId="0" applyNumberFormat="1" applyFont="1" applyFill="1" applyBorder="1" applyAlignment="1">
      <alignment horizontal="center" vertical="center" wrapText="1"/>
    </xf>
    <xf numFmtId="49" fontId="7" fillId="0" borderId="20" xfId="0" applyNumberFormat="1" applyFont="1" applyFill="1" applyBorder="1" applyAlignment="1">
      <alignment horizontal="center"/>
    </xf>
    <xf numFmtId="49" fontId="1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0" fillId="0" borderId="0" xfId="0" applyNumberFormat="1" applyFont="1" applyFill="1" applyAlignment="1">
      <alignment/>
    </xf>
    <xf numFmtId="49" fontId="0" fillId="0" borderId="20" xfId="0" applyNumberFormat="1" applyFont="1" applyFill="1" applyBorder="1" applyAlignment="1">
      <alignment horizontal="center"/>
    </xf>
    <xf numFmtId="49" fontId="0" fillId="0" borderId="20" xfId="0" applyNumberFormat="1" applyFont="1" applyFill="1" applyBorder="1" applyAlignment="1">
      <alignment horizontal="center"/>
    </xf>
    <xf numFmtId="49" fontId="12" fillId="0" borderId="0" xfId="0" applyNumberFormat="1" applyFont="1" applyFill="1" applyAlignment="1">
      <alignment/>
    </xf>
    <xf numFmtId="49" fontId="0" fillId="0" borderId="0" xfId="0" applyNumberFormat="1" applyFont="1" applyFill="1" applyBorder="1" applyAlignment="1">
      <alignment horizontal="center"/>
    </xf>
    <xf numFmtId="49" fontId="0" fillId="0" borderId="0" xfId="0" applyNumberFormat="1" applyFont="1" applyFill="1" applyBorder="1" applyAlignment="1">
      <alignment/>
    </xf>
    <xf numFmtId="2" fontId="0" fillId="0" borderId="0" xfId="0" applyNumberFormat="1" applyFont="1" applyFill="1" applyBorder="1" applyAlignment="1">
      <alignment horizontal="left"/>
    </xf>
    <xf numFmtId="2" fontId="19" fillId="0" borderId="0" xfId="0" applyNumberFormat="1" applyFont="1" applyFill="1" applyAlignment="1">
      <alignment/>
    </xf>
    <xf numFmtId="2" fontId="0" fillId="0" borderId="0" xfId="0" applyNumberFormat="1" applyFont="1" applyFill="1" applyAlignment="1">
      <alignment/>
    </xf>
    <xf numFmtId="2" fontId="12" fillId="0" borderId="0" xfId="0" applyNumberFormat="1" applyFont="1" applyFill="1" applyAlignment="1">
      <alignment/>
    </xf>
    <xf numFmtId="2" fontId="20" fillId="0" borderId="0" xfId="0" applyNumberFormat="1" applyFont="1" applyFill="1" applyAlignment="1">
      <alignment/>
    </xf>
    <xf numFmtId="2" fontId="0" fillId="0" borderId="0" xfId="0" applyNumberFormat="1" applyFont="1" applyFill="1" applyBorder="1" applyAlignment="1">
      <alignment/>
    </xf>
    <xf numFmtId="1" fontId="11"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1" fontId="8" fillId="0" borderId="25" xfId="0" applyNumberFormat="1" applyFont="1" applyFill="1" applyBorder="1" applyAlignment="1">
      <alignment horizontal="center"/>
    </xf>
    <xf numFmtId="2" fontId="2" fillId="0" borderId="0" xfId="0" applyNumberFormat="1" applyFont="1" applyFill="1" applyAlignment="1">
      <alignment horizontal="center"/>
    </xf>
    <xf numFmtId="49" fontId="17" fillId="0" borderId="26" xfId="0" applyNumberFormat="1" applyFont="1" applyFill="1" applyBorder="1" applyAlignment="1">
      <alignment horizontal="center" vertical="center" wrapText="1"/>
    </xf>
    <xf numFmtId="2" fontId="17" fillId="0" borderId="26" xfId="0" applyNumberFormat="1" applyFont="1" applyFill="1" applyBorder="1" applyAlignment="1">
      <alignment horizontal="left" wrapText="1"/>
    </xf>
    <xf numFmtId="49" fontId="30" fillId="0" borderId="20" xfId="0" applyNumberFormat="1" applyFont="1" applyFill="1" applyBorder="1" applyAlignment="1">
      <alignment horizontal="center"/>
    </xf>
    <xf numFmtId="0" fontId="34" fillId="0" borderId="0" xfId="0" applyFont="1" applyFill="1" applyAlignment="1">
      <alignment/>
    </xf>
    <xf numFmtId="49" fontId="34" fillId="0" borderId="0" xfId="0" applyNumberFormat="1" applyFont="1" applyFill="1" applyAlignment="1">
      <alignment/>
    </xf>
    <xf numFmtId="49" fontId="0" fillId="0" borderId="0" xfId="0" applyNumberFormat="1" applyFont="1" applyFill="1" applyAlignment="1">
      <alignment/>
    </xf>
    <xf numFmtId="0" fontId="0" fillId="0" borderId="0" xfId="0" applyFont="1" applyFill="1" applyAlignment="1">
      <alignment/>
    </xf>
    <xf numFmtId="2" fontId="8" fillId="0" borderId="0" xfId="0" applyNumberFormat="1" applyFont="1" applyFill="1" applyAlignment="1">
      <alignment/>
    </xf>
    <xf numFmtId="2" fontId="29" fillId="0" borderId="0" xfId="0" applyNumberFormat="1" applyFont="1" applyFill="1" applyBorder="1" applyAlignment="1">
      <alignment horizontal="center"/>
    </xf>
    <xf numFmtId="2" fontId="11" fillId="0" borderId="26" xfId="0" applyNumberFormat="1" applyFont="1" applyFill="1" applyBorder="1" applyAlignment="1">
      <alignment horizontal="left" wrapText="1"/>
    </xf>
    <xf numFmtId="49" fontId="30" fillId="0" borderId="20" xfId="0" applyNumberFormat="1" applyFont="1" applyFill="1" applyBorder="1" applyAlignment="1">
      <alignment horizontal="center" vertical="center"/>
    </xf>
    <xf numFmtId="49" fontId="0" fillId="0" borderId="0" xfId="0" applyNumberFormat="1" applyFont="1" applyFill="1" applyAlignment="1">
      <alignment vertical="center"/>
    </xf>
    <xf numFmtId="49" fontId="30" fillId="0" borderId="0" xfId="0" applyNumberFormat="1" applyFont="1" applyFill="1" applyBorder="1" applyAlignment="1">
      <alignment/>
    </xf>
    <xf numFmtId="10" fontId="0" fillId="0" borderId="20" xfId="162" applyNumberFormat="1" applyFont="1" applyFill="1" applyBorder="1" applyAlignment="1">
      <alignment horizontal="right" vertical="center"/>
      <protection/>
    </xf>
    <xf numFmtId="0" fontId="19" fillId="0" borderId="0" xfId="0" applyNumberFormat="1"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0" fillId="0" borderId="0" xfId="0" applyFont="1" applyFill="1" applyBorder="1" applyAlignment="1">
      <alignment/>
    </xf>
    <xf numFmtId="0" fontId="7" fillId="0" borderId="0" xfId="0" applyFont="1" applyFill="1" applyAlignment="1">
      <alignment/>
    </xf>
    <xf numFmtId="0" fontId="7" fillId="0" borderId="0" xfId="0" applyNumberFormat="1" applyFont="1" applyFill="1" applyAlignment="1">
      <alignment/>
    </xf>
    <xf numFmtId="0" fontId="8" fillId="0" borderId="21" xfId="0" applyNumberFormat="1"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0" xfId="0" applyFont="1" applyFill="1" applyBorder="1" applyAlignment="1">
      <alignment horizontal="center"/>
    </xf>
    <xf numFmtId="0" fontId="2" fillId="0" borderId="20"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Alignment="1">
      <alignment/>
    </xf>
    <xf numFmtId="2" fontId="11" fillId="0" borderId="26" xfId="0" applyNumberFormat="1" applyFont="1" applyFill="1" applyBorder="1" applyAlignment="1">
      <alignment horizontal="left" vertical="center" wrapText="1"/>
    </xf>
    <xf numFmtId="2" fontId="4" fillId="0" borderId="0" xfId="0" applyNumberFormat="1" applyFont="1" applyFill="1" applyBorder="1" applyAlignment="1">
      <alignment/>
    </xf>
    <xf numFmtId="0" fontId="37" fillId="0" borderId="19" xfId="0" applyFont="1" applyFill="1" applyBorder="1" applyAlignment="1">
      <alignment/>
    </xf>
    <xf numFmtId="0" fontId="34" fillId="0" borderId="0" xfId="0" applyFont="1" applyFill="1" applyBorder="1" applyAlignment="1">
      <alignment wrapText="1"/>
    </xf>
    <xf numFmtId="49" fontId="0" fillId="0" borderId="0" xfId="0" applyNumberFormat="1" applyFont="1" applyFill="1" applyBorder="1" applyAlignment="1">
      <alignment/>
    </xf>
    <xf numFmtId="49" fontId="0" fillId="0" borderId="0" xfId="0" applyNumberFormat="1" applyFont="1" applyFill="1" applyAlignment="1">
      <alignment/>
    </xf>
    <xf numFmtId="49" fontId="23" fillId="0" borderId="0" xfId="0" applyNumberFormat="1" applyFont="1" applyFill="1" applyAlignment="1">
      <alignment/>
    </xf>
    <xf numFmtId="49" fontId="0" fillId="0" borderId="0" xfId="0" applyNumberFormat="1" applyFont="1" applyFill="1" applyAlignment="1">
      <alignment/>
    </xf>
    <xf numFmtId="49" fontId="30" fillId="0" borderId="20" xfId="0" applyNumberFormat="1" applyFont="1" applyBorder="1" applyAlignment="1">
      <alignment horizontal="center"/>
    </xf>
    <xf numFmtId="3" fontId="12" fillId="4" borderId="20" xfId="284" applyNumberFormat="1" applyFont="1" applyFill="1" applyBorder="1" applyAlignment="1" applyProtection="1">
      <alignment horizontal="center" vertical="center"/>
      <protection/>
    </xf>
    <xf numFmtId="1" fontId="29" fillId="0" borderId="25" xfId="0" applyNumberFormat="1" applyFont="1" applyFill="1" applyBorder="1" applyAlignment="1">
      <alignment horizontal="center" vertical="center"/>
    </xf>
    <xf numFmtId="49" fontId="17" fillId="0" borderId="23" xfId="0" applyNumberFormat="1" applyFont="1" applyFill="1" applyBorder="1" applyAlignment="1">
      <alignment horizontal="center"/>
    </xf>
    <xf numFmtId="49" fontId="29"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17" fillId="0" borderId="20" xfId="0" applyNumberFormat="1" applyFont="1" applyFill="1" applyBorder="1" applyAlignment="1">
      <alignment horizontal="center" wrapText="1"/>
    </xf>
    <xf numFmtId="0" fontId="34" fillId="0" borderId="0" xfId="0" applyFont="1" applyAlignment="1">
      <alignment horizontal="center"/>
    </xf>
    <xf numFmtId="0" fontId="30" fillId="0" borderId="0" xfId="0" applyNumberFormat="1" applyFont="1" applyAlignment="1">
      <alignment horizontal="center"/>
    </xf>
    <xf numFmtId="0" fontId="0" fillId="0" borderId="20" xfId="0" applyBorder="1" applyAlignment="1">
      <alignment/>
    </xf>
    <xf numFmtId="0" fontId="0" fillId="49" borderId="20" xfId="0" applyFill="1" applyBorder="1" applyAlignment="1">
      <alignment/>
    </xf>
    <xf numFmtId="0" fontId="0" fillId="0" borderId="38" xfId="0" applyFill="1" applyBorder="1" applyAlignment="1">
      <alignment/>
    </xf>
    <xf numFmtId="0" fontId="30" fillId="0" borderId="0" xfId="0" applyNumberFormat="1" applyFont="1" applyBorder="1" applyAlignment="1">
      <alignment horizontal="center"/>
    </xf>
    <xf numFmtId="1" fontId="29" fillId="0" borderId="20" xfId="0" applyNumberFormat="1" applyFont="1" applyFill="1" applyBorder="1" applyAlignment="1">
      <alignment horizontal="center" vertical="center"/>
    </xf>
    <xf numFmtId="2" fontId="8" fillId="0" borderId="20" xfId="0" applyNumberFormat="1" applyFont="1" applyBorder="1" applyAlignment="1">
      <alignment horizontal="left" vertical="center" wrapText="1"/>
    </xf>
    <xf numFmtId="0" fontId="23" fillId="0" borderId="19" xfId="0" applyNumberFormat="1" applyFont="1" applyBorder="1" applyAlignment="1">
      <alignment horizontal="center" wrapText="1"/>
    </xf>
    <xf numFmtId="49" fontId="12" fillId="4" borderId="20" xfId="0" applyNumberFormat="1" applyFont="1" applyFill="1" applyBorder="1" applyAlignment="1">
      <alignment wrapText="1"/>
    </xf>
    <xf numFmtId="49" fontId="8" fillId="0" borderId="20" xfId="0" applyNumberFormat="1" applyFont="1" applyBorder="1" applyAlignment="1">
      <alignment wrapText="1"/>
    </xf>
    <xf numFmtId="49" fontId="8" fillId="0" borderId="20" xfId="0" applyNumberFormat="1" applyFont="1" applyFill="1" applyBorder="1" applyAlignment="1">
      <alignment wrapText="1"/>
    </xf>
    <xf numFmtId="0" fontId="37" fillId="0" borderId="0" xfId="0" applyNumberFormat="1" applyFont="1" applyFill="1" applyBorder="1" applyAlignment="1">
      <alignment horizontal="center"/>
    </xf>
    <xf numFmtId="0" fontId="3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34" fillId="0" borderId="0" xfId="0" applyNumberFormat="1" applyFont="1" applyFill="1" applyBorder="1" applyAlignment="1">
      <alignment/>
    </xf>
    <xf numFmtId="0" fontId="0" fillId="0" borderId="0" xfId="0" applyNumberFormat="1" applyFont="1" applyFill="1" applyBorder="1" applyAlignment="1">
      <alignment/>
    </xf>
    <xf numFmtId="0" fontId="12" fillId="0" borderId="0" xfId="0" applyNumberFormat="1" applyFont="1" applyFill="1" applyAlignment="1">
      <alignment/>
    </xf>
    <xf numFmtId="0" fontId="0" fillId="0" borderId="0" xfId="0" applyNumberFormat="1" applyFont="1" applyFill="1" applyBorder="1" applyAlignment="1">
      <alignment/>
    </xf>
    <xf numFmtId="0" fontId="8" fillId="0" borderId="0" xfId="0" applyNumberFormat="1" applyFont="1" applyFill="1" applyAlignment="1">
      <alignment/>
    </xf>
    <xf numFmtId="0" fontId="0" fillId="0" borderId="0" xfId="0" applyNumberFormat="1" applyFont="1" applyFill="1" applyAlignment="1">
      <alignment/>
    </xf>
    <xf numFmtId="0" fontId="30" fillId="0" borderId="0" xfId="0" applyNumberFormat="1" applyFont="1" applyFill="1" applyAlignment="1">
      <alignment horizontal="center"/>
    </xf>
    <xf numFmtId="49" fontId="17" fillId="0" borderId="26" xfId="0" applyNumberFormat="1" applyFont="1" applyFill="1" applyBorder="1" applyAlignment="1">
      <alignment horizontal="center" wrapText="1"/>
    </xf>
    <xf numFmtId="0" fontId="37" fillId="0" borderId="19" xfId="0" applyNumberFormat="1" applyFont="1" applyFill="1" applyBorder="1" applyAlignment="1">
      <alignment horizontal="center" wrapText="1"/>
    </xf>
    <xf numFmtId="0" fontId="34" fillId="0" borderId="0" xfId="0" applyNumberFormat="1" applyFont="1" applyFill="1" applyAlignment="1">
      <alignment/>
    </xf>
    <xf numFmtId="0" fontId="34" fillId="0" borderId="0" xfId="0" applyNumberFormat="1" applyFont="1" applyFill="1" applyAlignment="1">
      <alignment horizontal="left"/>
    </xf>
    <xf numFmtId="0" fontId="34" fillId="0" borderId="0" xfId="0" applyNumberFormat="1" applyFont="1" applyFill="1" applyAlignment="1">
      <alignment horizontal="center"/>
    </xf>
    <xf numFmtId="0" fontId="34" fillId="0" borderId="0" xfId="0" applyNumberFormat="1" applyFont="1" applyFill="1" applyBorder="1" applyAlignment="1">
      <alignment/>
    </xf>
    <xf numFmtId="0" fontId="34" fillId="0" borderId="0" xfId="0" applyNumberFormat="1" applyFont="1" applyFill="1" applyBorder="1" applyAlignment="1">
      <alignment horizontal="center"/>
    </xf>
    <xf numFmtId="0" fontId="30" fillId="0" borderId="0" xfId="0" applyNumberFormat="1" applyFont="1" applyFill="1" applyAlignment="1">
      <alignment/>
    </xf>
    <xf numFmtId="0" fontId="34" fillId="0" borderId="0" xfId="0" applyNumberFormat="1" applyFont="1" applyFill="1" applyAlignment="1">
      <alignment/>
    </xf>
    <xf numFmtId="0" fontId="0" fillId="0" borderId="0" xfId="0" applyNumberFormat="1" applyFont="1" applyFill="1" applyBorder="1" applyAlignment="1">
      <alignment horizontal="center"/>
    </xf>
    <xf numFmtId="0" fontId="37" fillId="0" borderId="19" xfId="0" applyFont="1" applyFill="1" applyBorder="1" applyAlignment="1">
      <alignment wrapText="1"/>
    </xf>
    <xf numFmtId="0" fontId="34" fillId="0" borderId="0" xfId="0" applyNumberFormat="1" applyFont="1" applyFill="1" applyBorder="1" applyAlignment="1">
      <alignment wrapText="1"/>
    </xf>
    <xf numFmtId="0" fontId="34" fillId="0" borderId="0" xfId="0" applyNumberFormat="1" applyFont="1" applyFill="1" applyAlignment="1">
      <alignment wrapText="1"/>
    </xf>
    <xf numFmtId="0" fontId="34" fillId="0" borderId="0" xfId="0" applyNumberFormat="1" applyFont="1" applyFill="1" applyBorder="1" applyAlignment="1">
      <alignment horizontal="center" wrapText="1"/>
    </xf>
    <xf numFmtId="0" fontId="0" fillId="0" borderId="0" xfId="0" applyNumberFormat="1" applyFont="1" applyFill="1" applyAlignment="1">
      <alignment/>
    </xf>
    <xf numFmtId="0" fontId="1" fillId="0" borderId="0" xfId="0" applyNumberFormat="1" applyFont="1" applyFill="1" applyAlignment="1">
      <alignment/>
    </xf>
    <xf numFmtId="0" fontId="12" fillId="0" borderId="21" xfId="0" applyNumberFormat="1" applyFont="1" applyFill="1" applyBorder="1" applyAlignment="1">
      <alignment horizontal="center" vertical="center" wrapText="1"/>
    </xf>
    <xf numFmtId="0" fontId="25" fillId="49" borderId="20" xfId="0" applyFont="1" applyFill="1" applyBorder="1" applyAlignment="1">
      <alignment/>
    </xf>
    <xf numFmtId="0" fontId="0" fillId="49" borderId="20" xfId="0" applyFont="1" applyFill="1" applyBorder="1" applyAlignment="1">
      <alignment/>
    </xf>
    <xf numFmtId="2" fontId="8" fillId="0" borderId="21" xfId="0" applyNumberFormat="1" applyFont="1" applyFill="1" applyBorder="1" applyAlignment="1">
      <alignment horizontal="center" vertical="center" wrapText="1"/>
    </xf>
    <xf numFmtId="2" fontId="8" fillId="0" borderId="20" xfId="0" applyNumberFormat="1" applyFont="1" applyFill="1" applyBorder="1" applyAlignment="1">
      <alignment horizontal="center" vertical="center" wrapText="1"/>
    </xf>
    <xf numFmtId="49" fontId="0" fillId="0" borderId="0" xfId="286" applyNumberFormat="1" applyFont="1" applyFill="1">
      <alignment/>
      <protection/>
    </xf>
    <xf numFmtId="49" fontId="23" fillId="0" borderId="0" xfId="286" applyNumberFormat="1" applyFont="1" applyFill="1" applyAlignment="1">
      <alignment horizontal="left"/>
      <protection/>
    </xf>
    <xf numFmtId="49" fontId="0" fillId="0" borderId="0" xfId="286" applyNumberFormat="1" applyFont="1" applyFill="1" applyAlignment="1">
      <alignment vertical="center"/>
      <protection/>
    </xf>
    <xf numFmtId="49" fontId="30" fillId="0" borderId="0" xfId="286" applyNumberFormat="1" applyFont="1" applyFill="1" applyAlignment="1">
      <alignment horizontal="center"/>
      <protection/>
    </xf>
    <xf numFmtId="49" fontId="34" fillId="0" borderId="0" xfId="286" applyNumberFormat="1" applyFont="1" applyFill="1">
      <alignment/>
      <protection/>
    </xf>
    <xf numFmtId="0" fontId="30" fillId="0" borderId="0" xfId="286" applyFont="1" applyFill="1" applyAlignment="1">
      <alignment horizontal="center"/>
      <protection/>
    </xf>
    <xf numFmtId="49" fontId="7" fillId="0" borderId="0" xfId="286" applyNumberFormat="1" applyFont="1" applyFill="1" applyAlignment="1">
      <alignment wrapText="1"/>
      <protection/>
    </xf>
    <xf numFmtId="49" fontId="8" fillId="0" borderId="0" xfId="286" applyNumberFormat="1" applyFont="1" applyFill="1" applyBorder="1" applyAlignment="1">
      <alignment horizontal="center"/>
      <protection/>
    </xf>
    <xf numFmtId="49" fontId="8" fillId="0" borderId="0" xfId="286" applyNumberFormat="1" applyFont="1" applyFill="1" applyBorder="1" applyAlignment="1">
      <alignment horizontal="left"/>
      <protection/>
    </xf>
    <xf numFmtId="49" fontId="0" fillId="0" borderId="0" xfId="286" applyNumberFormat="1" applyFont="1" applyFill="1" applyBorder="1" applyAlignment="1">
      <alignment horizontal="center"/>
      <protection/>
    </xf>
    <xf numFmtId="49" fontId="34" fillId="0" borderId="0" xfId="286" applyNumberFormat="1" applyFont="1" applyFill="1" applyBorder="1" applyAlignment="1">
      <alignment wrapText="1"/>
      <protection/>
    </xf>
    <xf numFmtId="49" fontId="34" fillId="0" borderId="0" xfId="286" applyNumberFormat="1" applyFont="1" applyFill="1" applyAlignment="1">
      <alignment wrapText="1"/>
      <protection/>
    </xf>
    <xf numFmtId="49" fontId="78" fillId="0" borderId="0" xfId="286" applyNumberFormat="1" applyFont="1" applyFill="1">
      <alignment/>
      <protection/>
    </xf>
    <xf numFmtId="49" fontId="18" fillId="0" borderId="0" xfId="286" applyNumberFormat="1" applyFont="1" applyFill="1" applyBorder="1" applyAlignment="1">
      <alignment wrapText="1"/>
      <protection/>
    </xf>
    <xf numFmtId="49" fontId="7" fillId="0" borderId="0" xfId="289" applyNumberFormat="1" applyFont="1" applyFill="1" applyBorder="1" applyAlignment="1">
      <alignment horizontal="left"/>
      <protection/>
    </xf>
    <xf numFmtId="49" fontId="32" fillId="0" borderId="0" xfId="289" applyNumberFormat="1" applyFont="1" applyFill="1">
      <alignment/>
      <protection/>
    </xf>
    <xf numFmtId="49" fontId="23" fillId="0" borderId="22" xfId="289" applyNumberFormat="1" applyFont="1" applyFill="1" applyBorder="1" applyAlignment="1">
      <alignment horizontal="left"/>
      <protection/>
    </xf>
    <xf numFmtId="49" fontId="7" fillId="0" borderId="22" xfId="289" applyNumberFormat="1" applyFont="1" applyFill="1" applyBorder="1" applyAlignment="1">
      <alignment horizontal="left"/>
      <protection/>
    </xf>
    <xf numFmtId="49" fontId="34" fillId="0" borderId="0" xfId="289" applyNumberFormat="1" applyFont="1" applyFill="1" applyBorder="1" applyAlignment="1">
      <alignment/>
      <protection/>
    </xf>
    <xf numFmtId="49" fontId="85" fillId="0" borderId="0" xfId="289" applyNumberFormat="1" applyFont="1" applyFill="1">
      <alignment/>
      <protection/>
    </xf>
    <xf numFmtId="49" fontId="30" fillId="0" borderId="0" xfId="289" applyNumberFormat="1" applyFont="1" applyFill="1" applyBorder="1" applyAlignment="1">
      <alignment/>
      <protection/>
    </xf>
    <xf numFmtId="49" fontId="10" fillId="0" borderId="0" xfId="289" applyNumberFormat="1" applyFont="1" applyFill="1">
      <alignment/>
      <protection/>
    </xf>
    <xf numFmtId="49" fontId="34" fillId="0" borderId="0" xfId="289" applyNumberFormat="1" applyFont="1" applyFill="1">
      <alignment/>
      <protection/>
    </xf>
    <xf numFmtId="49" fontId="87" fillId="0" borderId="0" xfId="289" applyNumberFormat="1" applyFont="1" applyFill="1">
      <alignment/>
      <protection/>
    </xf>
    <xf numFmtId="3" fontId="0" fillId="0" borderId="0" xfId="289" applyNumberFormat="1" applyFont="1" applyFill="1" applyBorder="1" applyAlignment="1">
      <alignment/>
      <protection/>
    </xf>
    <xf numFmtId="0" fontId="32" fillId="0" borderId="0" xfId="289" applyFont="1" applyFill="1">
      <alignment/>
      <protection/>
    </xf>
    <xf numFmtId="0" fontId="0" fillId="0" borderId="0" xfId="289" applyFont="1" applyFill="1" applyBorder="1" applyAlignment="1">
      <alignment/>
      <protection/>
    </xf>
    <xf numFmtId="0" fontId="0" fillId="0" borderId="0" xfId="289" applyFont="1" applyFill="1" applyBorder="1" applyAlignment="1">
      <alignment horizontal="left"/>
      <protection/>
    </xf>
    <xf numFmtId="0" fontId="32" fillId="0" borderId="0" xfId="289" applyFont="1" applyFill="1" applyAlignment="1">
      <alignment vertical="center"/>
      <protection/>
    </xf>
    <xf numFmtId="0" fontId="1" fillId="0" borderId="0" xfId="289" applyFont="1" applyFill="1">
      <alignment/>
      <protection/>
    </xf>
    <xf numFmtId="0" fontId="30" fillId="0" borderId="0" xfId="289" applyNumberFormat="1" applyFont="1" applyFill="1" applyBorder="1" applyAlignment="1">
      <alignment/>
      <protection/>
    </xf>
    <xf numFmtId="0" fontId="30" fillId="0" borderId="0" xfId="289" applyNumberFormat="1" applyFont="1" applyFill="1" applyBorder="1" applyAlignment="1">
      <alignment horizontal="center" wrapText="1"/>
      <protection/>
    </xf>
    <xf numFmtId="0" fontId="30" fillId="0" borderId="0" xfId="289" applyNumberFormat="1" applyFont="1" applyFill="1" applyBorder="1" applyAlignment="1">
      <alignment horizontal="center"/>
      <protection/>
    </xf>
    <xf numFmtId="0" fontId="10" fillId="0" borderId="0" xfId="289" applyFont="1" applyFill="1">
      <alignment/>
      <protection/>
    </xf>
    <xf numFmtId="0" fontId="30" fillId="0" borderId="0" xfId="286" applyFont="1" applyFill="1" applyAlignment="1">
      <alignment/>
      <protection/>
    </xf>
    <xf numFmtId="49" fontId="24" fillId="0" borderId="0" xfId="289" applyNumberFormat="1" applyFont="1" applyFill="1">
      <alignment/>
      <protection/>
    </xf>
    <xf numFmtId="49" fontId="8" fillId="0" borderId="0" xfId="289" applyNumberFormat="1" applyFont="1" applyFill="1" applyBorder="1" applyAlignment="1">
      <alignment horizontal="left"/>
      <protection/>
    </xf>
    <xf numFmtId="49" fontId="0" fillId="0" borderId="22" xfId="289" applyNumberFormat="1" applyFont="1" applyFill="1" applyBorder="1" applyAlignment="1">
      <alignment/>
      <protection/>
    </xf>
    <xf numFmtId="49" fontId="11" fillId="0" borderId="20" xfId="289" applyNumberFormat="1" applyFont="1" applyFill="1" applyBorder="1" applyAlignment="1">
      <alignment horizontal="center" vertical="center" wrapText="1"/>
      <protection/>
    </xf>
    <xf numFmtId="49" fontId="29" fillId="0" borderId="0" xfId="289" applyNumberFormat="1" applyFont="1" applyFill="1">
      <alignment/>
      <protection/>
    </xf>
    <xf numFmtId="49" fontId="11" fillId="0" borderId="25" xfId="289" applyNumberFormat="1" applyFont="1" applyFill="1" applyBorder="1" applyAlignment="1">
      <alignment horizontal="center" vertical="center" wrapText="1"/>
      <protection/>
    </xf>
    <xf numFmtId="49" fontId="24" fillId="0" borderId="20" xfId="289" applyNumberFormat="1" applyFont="1" applyFill="1" applyBorder="1" applyAlignment="1">
      <alignment horizontal="center" vertical="center"/>
      <protection/>
    </xf>
    <xf numFmtId="49" fontId="10" fillId="0" borderId="0" xfId="289" applyNumberFormat="1" applyFont="1" applyFill="1" applyAlignment="1">
      <alignment vertical="center"/>
      <protection/>
    </xf>
    <xf numFmtId="49" fontId="93" fillId="0" borderId="0" xfId="289" applyNumberFormat="1" applyFont="1" applyFill="1">
      <alignment/>
      <protection/>
    </xf>
    <xf numFmtId="49" fontId="34" fillId="0" borderId="0" xfId="289" applyNumberFormat="1" applyFont="1" applyFill="1" applyBorder="1" applyAlignment="1">
      <alignment wrapText="1"/>
      <protection/>
    </xf>
    <xf numFmtId="49" fontId="26" fillId="0" borderId="0" xfId="289" applyNumberFormat="1" applyFont="1" applyFill="1">
      <alignment/>
      <protection/>
    </xf>
    <xf numFmtId="49" fontId="37" fillId="0" borderId="0" xfId="289" applyNumberFormat="1" applyFont="1" applyFill="1">
      <alignment/>
      <protection/>
    </xf>
    <xf numFmtId="0" fontId="17" fillId="0" borderId="20" xfId="289" applyFont="1" applyFill="1" applyBorder="1" applyAlignment="1">
      <alignment horizontal="center" vertical="center" wrapText="1"/>
      <protection/>
    </xf>
    <xf numFmtId="0" fontId="24" fillId="0" borderId="23" xfId="289" applyFont="1" applyFill="1" applyBorder="1" applyAlignment="1">
      <alignment horizontal="center" vertical="center"/>
      <protection/>
    </xf>
    <xf numFmtId="0" fontId="24" fillId="0" borderId="20" xfId="289" applyFont="1" applyFill="1" applyBorder="1" applyAlignment="1">
      <alignment horizontal="center" vertical="center"/>
      <protection/>
    </xf>
    <xf numFmtId="0" fontId="34" fillId="0" borderId="0" xfId="289" applyNumberFormat="1" applyFont="1" applyFill="1" applyBorder="1" applyAlignment="1">
      <alignment/>
      <protection/>
    </xf>
    <xf numFmtId="0" fontId="21" fillId="0" borderId="0" xfId="289" applyFont="1" applyFill="1">
      <alignment/>
      <protection/>
    </xf>
    <xf numFmtId="0" fontId="33" fillId="0" borderId="0" xfId="289" applyFont="1" applyFill="1">
      <alignment/>
      <protection/>
    </xf>
    <xf numFmtId="0" fontId="18" fillId="0" borderId="0" xfId="289" applyFont="1" applyFill="1">
      <alignment/>
      <protection/>
    </xf>
    <xf numFmtId="49" fontId="18" fillId="0" borderId="0" xfId="289" applyNumberFormat="1" applyFont="1" applyFill="1">
      <alignment/>
      <protection/>
    </xf>
    <xf numFmtId="0" fontId="87" fillId="0" borderId="0" xfId="289" applyFont="1" applyFill="1">
      <alignment/>
      <protection/>
    </xf>
    <xf numFmtId="49" fontId="30" fillId="0" borderId="0" xfId="286" applyNumberFormat="1" applyFont="1" applyFill="1" applyAlignment="1">
      <alignment/>
      <protection/>
    </xf>
    <xf numFmtId="0" fontId="7" fillId="0" borderId="0" xfId="289" applyFont="1" applyFill="1">
      <alignment/>
      <protection/>
    </xf>
    <xf numFmtId="0" fontId="6" fillId="0" borderId="0" xfId="289" applyFont="1" applyFill="1">
      <alignment/>
      <protection/>
    </xf>
    <xf numFmtId="0" fontId="8" fillId="0" borderId="0" xfId="289" applyNumberFormat="1" applyFont="1" applyFill="1" applyBorder="1" applyAlignment="1">
      <alignment horizontal="center" wrapText="1"/>
      <protection/>
    </xf>
    <xf numFmtId="0" fontId="12" fillId="0" borderId="20" xfId="289" applyNumberFormat="1" applyFont="1" applyFill="1" applyBorder="1" applyAlignment="1">
      <alignment horizontal="center" vertical="center" wrapText="1"/>
      <protection/>
    </xf>
    <xf numFmtId="0" fontId="18" fillId="0" borderId="20" xfId="289" applyFont="1" applyFill="1" applyBorder="1" applyAlignment="1">
      <alignment horizontal="center"/>
      <protection/>
    </xf>
    <xf numFmtId="0" fontId="18" fillId="0" borderId="39" xfId="289" applyFont="1" applyFill="1" applyBorder="1" applyAlignment="1">
      <alignment horizontal="center"/>
      <protection/>
    </xf>
    <xf numFmtId="49" fontId="0" fillId="0" borderId="0" xfId="286" applyNumberFormat="1" applyFont="1" applyFill="1">
      <alignment/>
      <protection/>
    </xf>
    <xf numFmtId="49" fontId="34" fillId="0" borderId="0" xfId="286" applyNumberFormat="1" applyFont="1" applyFill="1" applyAlignment="1">
      <alignment/>
      <protection/>
    </xf>
    <xf numFmtId="0" fontId="0" fillId="0" borderId="0" xfId="289" applyNumberFormat="1" applyFont="1" applyFill="1" applyBorder="1" applyAlignment="1">
      <alignment horizontal="left"/>
      <protection/>
    </xf>
    <xf numFmtId="0" fontId="7" fillId="0" borderId="0" xfId="289" applyNumberFormat="1" applyFont="1" applyFill="1" applyBorder="1" applyAlignment="1">
      <alignment horizontal="left"/>
      <protection/>
    </xf>
    <xf numFmtId="49" fontId="0" fillId="0" borderId="0" xfId="289" applyNumberFormat="1" applyFont="1" applyFill="1" applyBorder="1" applyAlignment="1">
      <alignment horizontal="left"/>
      <protection/>
    </xf>
    <xf numFmtId="0" fontId="85" fillId="0" borderId="0" xfId="289" applyNumberFormat="1" applyFont="1" applyFill="1">
      <alignment/>
      <protection/>
    </xf>
    <xf numFmtId="0" fontId="34" fillId="0" borderId="0" xfId="289" applyNumberFormat="1" applyFont="1" applyFill="1">
      <alignment/>
      <protection/>
    </xf>
    <xf numFmtId="0" fontId="8" fillId="0" borderId="0" xfId="289" applyNumberFormat="1" applyFont="1" applyFill="1" applyBorder="1" applyAlignment="1">
      <alignment horizontal="left"/>
      <protection/>
    </xf>
    <xf numFmtId="0" fontId="37" fillId="0" borderId="0" xfId="289" applyNumberFormat="1" applyFont="1" applyFill="1">
      <alignment/>
      <protection/>
    </xf>
    <xf numFmtId="0" fontId="94" fillId="0" borderId="0" xfId="289" applyNumberFormat="1" applyFont="1" applyFill="1">
      <alignment/>
      <protection/>
    </xf>
    <xf numFmtId="0" fontId="30" fillId="0" borderId="0" xfId="286" applyNumberFormat="1" applyFont="1" applyFill="1" applyAlignment="1">
      <alignment/>
      <protection/>
    </xf>
    <xf numFmtId="0" fontId="34" fillId="0" borderId="0" xfId="289" applyNumberFormat="1" applyFont="1" applyFill="1" applyBorder="1" applyAlignment="1">
      <alignment wrapText="1"/>
      <protection/>
    </xf>
    <xf numFmtId="49" fontId="0" fillId="0" borderId="0" xfId="0" applyNumberFormat="1" applyFill="1" applyAlignment="1">
      <alignment/>
    </xf>
    <xf numFmtId="0" fontId="18" fillId="0" borderId="22" xfId="289" applyFont="1" applyFill="1" applyBorder="1" applyAlignment="1">
      <alignment/>
      <protection/>
    </xf>
    <xf numFmtId="2" fontId="0" fillId="0" borderId="0" xfId="0" applyNumberFormat="1" applyFont="1" applyAlignment="1">
      <alignment horizontal="left"/>
    </xf>
    <xf numFmtId="49" fontId="0" fillId="0" borderId="0" xfId="0" applyNumberFormat="1" applyFont="1" applyAlignment="1">
      <alignment/>
    </xf>
    <xf numFmtId="0" fontId="8" fillId="0" borderId="0" xfId="0" applyNumberFormat="1" applyFont="1" applyFill="1" applyAlignment="1">
      <alignment horizontal="left"/>
    </xf>
    <xf numFmtId="49" fontId="8" fillId="0" borderId="0" xfId="0" applyNumberFormat="1" applyFont="1" applyFill="1" applyAlignment="1">
      <alignment horizontal="left"/>
    </xf>
    <xf numFmtId="210" fontId="22" fillId="47" borderId="20" xfId="290" applyNumberFormat="1" applyFont="1" applyFill="1" applyBorder="1" applyAlignment="1">
      <alignment/>
      <protection/>
    </xf>
    <xf numFmtId="2" fontId="12" fillId="47" borderId="20" xfId="290" applyNumberFormat="1" applyFont="1" applyFill="1" applyBorder="1" applyAlignment="1">
      <alignment horizontal="center" vertical="center"/>
      <protection/>
    </xf>
    <xf numFmtId="0" fontId="34" fillId="0" borderId="0" xfId="0" applyNumberFormat="1" applyFont="1" applyFill="1" applyAlignment="1">
      <alignment horizontal="left" wrapText="1"/>
    </xf>
    <xf numFmtId="49" fontId="34" fillId="0" borderId="0" xfId="0" applyNumberFormat="1" applyFont="1" applyFill="1" applyAlignment="1">
      <alignment horizontal="left"/>
    </xf>
    <xf numFmtId="49" fontId="8" fillId="49" borderId="0" xfId="0" applyNumberFormat="1" applyFont="1" applyFill="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left"/>
    </xf>
    <xf numFmtId="49" fontId="0" fillId="0" borderId="20" xfId="0" applyNumberFormat="1" applyFont="1" applyFill="1" applyBorder="1" applyAlignment="1">
      <alignment horizontal="left"/>
    </xf>
    <xf numFmtId="49" fontId="1" fillId="0" borderId="0" xfId="0" applyNumberFormat="1" applyFont="1" applyFill="1" applyBorder="1" applyAlignment="1">
      <alignment horizontal="left"/>
    </xf>
    <xf numFmtId="0" fontId="0" fillId="0" borderId="0" xfId="0" applyNumberFormat="1" applyFont="1" applyFill="1" applyAlignment="1">
      <alignment horizontal="left"/>
    </xf>
    <xf numFmtId="0" fontId="8" fillId="0" borderId="0" xfId="0" applyNumberFormat="1" applyFont="1" applyFill="1" applyAlignment="1">
      <alignment horizontal="left" wrapText="1"/>
    </xf>
    <xf numFmtId="210" fontId="0" fillId="0" borderId="0" xfId="0" applyNumberFormat="1" applyFont="1" applyFill="1" applyAlignment="1">
      <alignment horizontal="left"/>
    </xf>
    <xf numFmtId="210" fontId="0" fillId="0" borderId="0" xfId="0" applyNumberFormat="1" applyFont="1" applyFill="1" applyBorder="1" applyAlignment="1">
      <alignment horizontal="left"/>
    </xf>
    <xf numFmtId="0" fontId="25" fillId="49" borderId="20" xfId="0" applyFont="1" applyFill="1" applyBorder="1" applyAlignment="1">
      <alignment wrapText="1"/>
    </xf>
    <xf numFmtId="0" fontId="0" fillId="49" borderId="38" xfId="0" applyFill="1" applyBorder="1" applyAlignment="1">
      <alignment/>
    </xf>
    <xf numFmtId="210" fontId="1" fillId="0" borderId="0" xfId="0" applyNumberFormat="1" applyFont="1" applyFill="1" applyAlignment="1">
      <alignment/>
    </xf>
    <xf numFmtId="210" fontId="8" fillId="0" borderId="20" xfId="162" applyNumberFormat="1" applyFont="1" applyFill="1" applyBorder="1" applyAlignment="1">
      <alignment horizontal="right" vertical="center"/>
      <protection/>
    </xf>
    <xf numFmtId="0" fontId="30" fillId="0" borderId="0" xfId="0" applyNumberFormat="1" applyFont="1" applyFill="1" applyAlignment="1">
      <alignment horizontal="center" wrapText="1"/>
    </xf>
    <xf numFmtId="210" fontId="30" fillId="0" borderId="0" xfId="0" applyNumberFormat="1" applyFont="1" applyFill="1" applyAlignment="1">
      <alignment horizontal="center"/>
    </xf>
    <xf numFmtId="210" fontId="30" fillId="0" borderId="0" xfId="0" applyNumberFormat="1" applyFont="1" applyFill="1" applyAlignment="1">
      <alignment horizontal="center" wrapText="1"/>
    </xf>
    <xf numFmtId="210" fontId="0" fillId="0" borderId="0" xfId="0" applyNumberFormat="1" applyFont="1" applyFill="1" applyAlignment="1">
      <alignment/>
    </xf>
    <xf numFmtId="210" fontId="7" fillId="0" borderId="0" xfId="0" applyNumberFormat="1" applyFont="1" applyFill="1" applyBorder="1" applyAlignment="1">
      <alignment/>
    </xf>
    <xf numFmtId="210" fontId="0" fillId="0" borderId="0" xfId="0" applyNumberFormat="1" applyFont="1" applyFill="1" applyBorder="1" applyAlignment="1">
      <alignment/>
    </xf>
    <xf numFmtId="210" fontId="0" fillId="0" borderId="0" xfId="0" applyNumberFormat="1" applyFont="1" applyFill="1" applyBorder="1" applyAlignment="1">
      <alignment/>
    </xf>
    <xf numFmtId="210" fontId="0" fillId="0" borderId="0" xfId="0" applyNumberFormat="1" applyFont="1" applyFill="1" applyBorder="1" applyAlignment="1">
      <alignment horizontal="center"/>
    </xf>
    <xf numFmtId="210" fontId="13" fillId="0" borderId="0" xfId="0" applyNumberFormat="1" applyFont="1" applyFill="1" applyBorder="1" applyAlignment="1">
      <alignment horizontal="center"/>
    </xf>
    <xf numFmtId="210" fontId="0" fillId="0" borderId="0" xfId="0" applyNumberFormat="1" applyFont="1" applyFill="1" applyAlignment="1">
      <alignment/>
    </xf>
    <xf numFmtId="210" fontId="8" fillId="0" borderId="0" xfId="0" applyNumberFormat="1" applyFont="1" applyFill="1" applyAlignment="1">
      <alignment/>
    </xf>
    <xf numFmtId="210" fontId="1" fillId="0" borderId="0" xfId="0" applyNumberFormat="1" applyFont="1" applyFill="1" applyBorder="1" applyAlignment="1">
      <alignment horizontal="left"/>
    </xf>
    <xf numFmtId="49" fontId="7" fillId="50" borderId="20" xfId="0" applyNumberFormat="1" applyFont="1" applyFill="1" applyBorder="1" applyAlignment="1">
      <alignment horizontal="center"/>
    </xf>
    <xf numFmtId="49" fontId="12" fillId="50" borderId="20" xfId="0" applyNumberFormat="1" applyFont="1" applyFill="1" applyBorder="1" applyAlignment="1">
      <alignment wrapText="1"/>
    </xf>
    <xf numFmtId="3" fontId="12" fillId="50" borderId="20" xfId="284" applyNumberFormat="1" applyFont="1" applyFill="1" applyBorder="1" applyAlignment="1" applyProtection="1">
      <alignment horizontal="center" vertical="center"/>
      <protection/>
    </xf>
    <xf numFmtId="49" fontId="0" fillId="50" borderId="0" xfId="0" applyNumberFormat="1" applyFont="1" applyFill="1" applyAlignment="1">
      <alignment/>
    </xf>
    <xf numFmtId="49" fontId="12" fillId="50" borderId="0" xfId="0" applyNumberFormat="1" applyFont="1" applyFill="1" applyAlignment="1">
      <alignment/>
    </xf>
    <xf numFmtId="49" fontId="8" fillId="50" borderId="0" xfId="0" applyNumberFormat="1" applyFont="1" applyFill="1" applyAlignment="1">
      <alignment/>
    </xf>
    <xf numFmtId="210" fontId="12" fillId="47" borderId="20" xfId="290" applyNumberFormat="1" applyFont="1" applyFill="1" applyBorder="1" applyAlignment="1">
      <alignment horizontal="center" vertical="center"/>
      <protection/>
    </xf>
    <xf numFmtId="210" fontId="29" fillId="47" borderId="0" xfId="0" applyNumberFormat="1" applyFont="1" applyFill="1" applyAlignment="1">
      <alignment horizontal="left"/>
    </xf>
    <xf numFmtId="49" fontId="29" fillId="47" borderId="0" xfId="0" applyNumberFormat="1" applyFont="1" applyFill="1" applyAlignment="1">
      <alignment horizontal="left"/>
    </xf>
    <xf numFmtId="0" fontId="113" fillId="47" borderId="20" xfId="288" applyFont="1" applyFill="1" applyBorder="1" applyAlignment="1">
      <alignment horizontal="left"/>
      <protection/>
    </xf>
    <xf numFmtId="210" fontId="25" fillId="0" borderId="0" xfId="0" applyNumberFormat="1" applyFont="1" applyFill="1" applyAlignment="1">
      <alignment horizontal="left"/>
    </xf>
    <xf numFmtId="210" fontId="119" fillId="0" borderId="0" xfId="0" applyNumberFormat="1" applyFont="1" applyFill="1" applyAlignment="1">
      <alignment horizontal="center"/>
    </xf>
    <xf numFmtId="210" fontId="119" fillId="0" borderId="0" xfId="0" applyNumberFormat="1" applyFont="1" applyFill="1" applyAlignment="1">
      <alignment horizontal="center" wrapText="1"/>
    </xf>
    <xf numFmtId="49" fontId="38" fillId="0" borderId="0" xfId="0" applyNumberFormat="1" applyFont="1" applyFill="1" applyAlignment="1">
      <alignment/>
    </xf>
    <xf numFmtId="0" fontId="58" fillId="0" borderId="0" xfId="0" applyNumberFormat="1" applyFont="1" applyFill="1" applyAlignment="1">
      <alignment/>
    </xf>
    <xf numFmtId="0" fontId="58" fillId="0" borderId="0" xfId="0" applyNumberFormat="1" applyFont="1" applyFill="1" applyAlignment="1">
      <alignment wrapText="1"/>
    </xf>
    <xf numFmtId="49" fontId="58" fillId="0" borderId="0" xfId="0" applyNumberFormat="1" applyFont="1" applyFill="1" applyAlignment="1">
      <alignment/>
    </xf>
    <xf numFmtId="0" fontId="58" fillId="0" borderId="0" xfId="0" applyNumberFormat="1" applyFont="1" applyFill="1" applyAlignment="1">
      <alignment/>
    </xf>
    <xf numFmtId="210" fontId="29" fillId="49" borderId="0" xfId="0" applyNumberFormat="1" applyFont="1" applyFill="1" applyAlignment="1">
      <alignment horizontal="left"/>
    </xf>
    <xf numFmtId="49" fontId="29" fillId="49" borderId="0" xfId="0" applyNumberFormat="1" applyFont="1" applyFill="1" applyAlignment="1">
      <alignment horizontal="left"/>
    </xf>
    <xf numFmtId="210" fontId="0" fillId="47" borderId="20" xfId="290" applyNumberFormat="1" applyFill="1" applyBorder="1" applyAlignment="1">
      <alignment horizontal="center" vertical="center"/>
      <protection/>
    </xf>
    <xf numFmtId="210" fontId="7" fillId="47" borderId="20" xfId="290" applyNumberFormat="1" applyFont="1" applyFill="1" applyBorder="1" applyAlignment="1">
      <alignment horizontal="center" vertical="center"/>
      <protection/>
    </xf>
    <xf numFmtId="49" fontId="0" fillId="50" borderId="0" xfId="0" applyNumberFormat="1" applyFont="1" applyFill="1" applyAlignment="1">
      <alignment/>
    </xf>
    <xf numFmtId="2" fontId="12" fillId="50" borderId="20" xfId="0" applyNumberFormat="1" applyFont="1" applyFill="1" applyBorder="1" applyAlignment="1">
      <alignment horizontal="left" vertical="center" wrapText="1"/>
    </xf>
    <xf numFmtId="210" fontId="12" fillId="47" borderId="20" xfId="290" applyNumberFormat="1" applyFont="1" applyFill="1" applyBorder="1" applyAlignment="1">
      <alignment horizontal="center"/>
      <protection/>
    </xf>
    <xf numFmtId="49" fontId="0" fillId="50" borderId="20" xfId="0" applyNumberFormat="1" applyFont="1" applyFill="1" applyBorder="1" applyAlignment="1">
      <alignment horizontal="center"/>
    </xf>
    <xf numFmtId="3" fontId="8" fillId="50" borderId="0" xfId="0" applyNumberFormat="1" applyFont="1" applyFill="1" applyAlignment="1">
      <alignment/>
    </xf>
    <xf numFmtId="210" fontId="0" fillId="50" borderId="0" xfId="0" applyNumberFormat="1" applyFill="1" applyAlignment="1">
      <alignment/>
    </xf>
    <xf numFmtId="0" fontId="113" fillId="47" borderId="20" xfId="288" applyFont="1" applyFill="1" applyBorder="1" applyAlignment="1">
      <alignment horizontal="center"/>
      <protection/>
    </xf>
    <xf numFmtId="49" fontId="0" fillId="47" borderId="0" xfId="286" applyNumberFormat="1" applyFont="1" applyFill="1" applyAlignment="1">
      <alignment vertical="center"/>
      <protection/>
    </xf>
    <xf numFmtId="0" fontId="113" fillId="47" borderId="23" xfId="288" applyFont="1" applyFill="1" applyBorder="1" applyAlignment="1">
      <alignment horizontal="center"/>
      <protection/>
    </xf>
    <xf numFmtId="0" fontId="10" fillId="47" borderId="20" xfId="288" applyFont="1" applyFill="1" applyBorder="1" applyAlignment="1">
      <alignment horizontal="center"/>
      <protection/>
    </xf>
    <xf numFmtId="0" fontId="32" fillId="47" borderId="0" xfId="289" applyFont="1" applyFill="1" applyAlignment="1">
      <alignment vertical="center"/>
      <protection/>
    </xf>
    <xf numFmtId="211" fontId="35" fillId="47" borderId="20" xfId="288" applyNumberFormat="1" applyFont="1" applyFill="1" applyBorder="1" applyAlignment="1">
      <alignment/>
      <protection/>
    </xf>
    <xf numFmtId="49" fontId="10" fillId="47" borderId="0" xfId="289" applyNumberFormat="1" applyFont="1" applyFill="1" applyAlignment="1">
      <alignment vertical="center"/>
      <protection/>
    </xf>
    <xf numFmtId="211" fontId="10" fillId="47" borderId="20" xfId="288" applyNumberFormat="1" applyFont="1" applyFill="1" applyBorder="1" applyAlignment="1">
      <alignment/>
      <protection/>
    </xf>
    <xf numFmtId="49" fontId="10" fillId="47" borderId="20" xfId="288" applyNumberFormat="1" applyFont="1" applyFill="1" applyBorder="1" applyAlignment="1">
      <alignment horizontal="left"/>
      <protection/>
    </xf>
    <xf numFmtId="3" fontId="10" fillId="47" borderId="20" xfId="288" applyNumberFormat="1" applyFont="1" applyFill="1" applyBorder="1" applyAlignment="1">
      <alignment/>
      <protection/>
    </xf>
    <xf numFmtId="49" fontId="10" fillId="47" borderId="20" xfId="288" applyNumberFormat="1" applyFont="1" applyFill="1" applyBorder="1" applyAlignment="1">
      <alignment/>
      <protection/>
    </xf>
    <xf numFmtId="0" fontId="10" fillId="47" borderId="20" xfId="288" applyNumberFormat="1" applyFont="1" applyFill="1" applyBorder="1" applyAlignment="1">
      <alignment/>
      <protection/>
    </xf>
    <xf numFmtId="0" fontId="35" fillId="47" borderId="23" xfId="288" applyFont="1" applyFill="1" applyBorder="1" applyAlignment="1">
      <alignment horizontal="right"/>
      <protection/>
    </xf>
    <xf numFmtId="0" fontId="35" fillId="47" borderId="20" xfId="288" applyFont="1" applyFill="1" applyBorder="1">
      <alignment/>
      <protection/>
    </xf>
    <xf numFmtId="0" fontId="10" fillId="47" borderId="20" xfId="288" applyFont="1" applyFill="1" applyBorder="1">
      <alignment/>
      <protection/>
    </xf>
    <xf numFmtId="0" fontId="10" fillId="47" borderId="26" xfId="288" applyFont="1" applyFill="1" applyBorder="1">
      <alignment/>
      <protection/>
    </xf>
    <xf numFmtId="0" fontId="32" fillId="47" borderId="20" xfId="288" applyFont="1" applyFill="1" applyBorder="1">
      <alignment/>
      <protection/>
    </xf>
    <xf numFmtId="0" fontId="8" fillId="0" borderId="20" xfId="0" applyFont="1" applyBorder="1" applyAlignment="1">
      <alignment/>
    </xf>
    <xf numFmtId="10" fontId="10" fillId="0" borderId="20" xfId="162" applyNumberFormat="1" applyFont="1" applyFill="1" applyBorder="1" applyAlignment="1">
      <alignment horizontal="right" vertical="center"/>
      <protection/>
    </xf>
    <xf numFmtId="4" fontId="30" fillId="0" borderId="0" xfId="0" applyNumberFormat="1" applyFont="1" applyFill="1" applyAlignment="1">
      <alignment horizontal="center"/>
    </xf>
    <xf numFmtId="4" fontId="0" fillId="0" borderId="0" xfId="0" applyNumberFormat="1" applyFont="1" applyFill="1" applyAlignment="1">
      <alignment horizontal="left"/>
    </xf>
    <xf numFmtId="4" fontId="8" fillId="0" borderId="0" xfId="0" applyNumberFormat="1" applyFont="1" applyFill="1" applyAlignment="1">
      <alignment/>
    </xf>
    <xf numFmtId="4" fontId="8" fillId="0" borderId="0" xfId="0" applyNumberFormat="1" applyFont="1" applyFill="1" applyBorder="1" applyAlignment="1">
      <alignment/>
    </xf>
    <xf numFmtId="4" fontId="8" fillId="49" borderId="0" xfId="0" applyNumberFormat="1" applyFont="1" applyFill="1" applyAlignment="1">
      <alignment/>
    </xf>
    <xf numFmtId="4" fontId="107" fillId="0" borderId="0" xfId="0" applyNumberFormat="1" applyFont="1" applyFill="1" applyBorder="1" applyAlignment="1">
      <alignment/>
    </xf>
    <xf numFmtId="4" fontId="108" fillId="0" borderId="0" xfId="0" applyNumberFormat="1" applyFont="1" applyFill="1" applyBorder="1" applyAlignment="1">
      <alignment/>
    </xf>
    <xf numFmtId="49" fontId="0" fillId="51" borderId="0" xfId="286" applyNumberFormat="1" applyFont="1" applyFill="1" applyAlignment="1">
      <alignment vertical="center"/>
      <protection/>
    </xf>
    <xf numFmtId="3" fontId="1" fillId="0" borderId="0" xfId="0" applyNumberFormat="1" applyFont="1" applyAlignment="1">
      <alignment/>
    </xf>
    <xf numFmtId="3" fontId="0" fillId="0" borderId="0" xfId="0" applyNumberFormat="1" applyFont="1" applyAlignment="1">
      <alignment/>
    </xf>
    <xf numFmtId="3" fontId="8" fillId="0" borderId="0" xfId="0" applyNumberFormat="1" applyFont="1" applyAlignment="1">
      <alignment/>
    </xf>
    <xf numFmtId="3" fontId="12" fillId="0" borderId="0" xfId="0" applyNumberFormat="1" applyFont="1" applyAlignment="1">
      <alignment/>
    </xf>
    <xf numFmtId="3" fontId="1" fillId="0" borderId="0" xfId="0" applyNumberFormat="1" applyFont="1" applyFill="1" applyAlignment="1">
      <alignment/>
    </xf>
    <xf numFmtId="3" fontId="0" fillId="0" borderId="0" xfId="0" applyNumberFormat="1" applyFont="1" applyFill="1" applyAlignment="1">
      <alignment vertical="center"/>
    </xf>
    <xf numFmtId="3" fontId="0" fillId="0" borderId="0" xfId="0" applyNumberFormat="1" applyFont="1" applyFill="1" applyAlignment="1">
      <alignment/>
    </xf>
    <xf numFmtId="3" fontId="0" fillId="50" borderId="0" xfId="0" applyNumberFormat="1" applyFill="1" applyAlignment="1">
      <alignment/>
    </xf>
    <xf numFmtId="3" fontId="8" fillId="0" borderId="0" xfId="0" applyNumberFormat="1" applyFont="1" applyFill="1" applyAlignment="1">
      <alignment/>
    </xf>
    <xf numFmtId="3" fontId="12" fillId="0" borderId="0" xfId="0" applyNumberFormat="1" applyFont="1" applyFill="1" applyAlignment="1">
      <alignment/>
    </xf>
    <xf numFmtId="3" fontId="12" fillId="50" borderId="0" xfId="0" applyNumberFormat="1" applyFont="1" applyFill="1" applyAlignment="1">
      <alignment/>
    </xf>
    <xf numFmtId="3" fontId="0" fillId="50" borderId="0" xfId="0" applyNumberFormat="1" applyFont="1" applyFill="1" applyAlignment="1">
      <alignment/>
    </xf>
    <xf numFmtId="3" fontId="0" fillId="0" borderId="0" xfId="0" applyNumberFormat="1" applyFont="1" applyFill="1" applyAlignment="1">
      <alignment/>
    </xf>
    <xf numFmtId="3" fontId="8" fillId="0" borderId="0" xfId="0" applyNumberFormat="1" applyFont="1" applyFill="1" applyBorder="1" applyAlignment="1">
      <alignment/>
    </xf>
    <xf numFmtId="3" fontId="30" fillId="0" borderId="0" xfId="0" applyNumberFormat="1" applyFont="1" applyFill="1" applyBorder="1" applyAlignment="1">
      <alignment/>
    </xf>
    <xf numFmtId="3" fontId="0" fillId="50" borderId="0" xfId="0" applyNumberFormat="1" applyFont="1" applyFill="1" applyAlignment="1">
      <alignment/>
    </xf>
    <xf numFmtId="49" fontId="8" fillId="52" borderId="0" xfId="0" applyNumberFormat="1" applyFont="1" applyFill="1" applyAlignment="1">
      <alignment horizontal="left"/>
    </xf>
    <xf numFmtId="49" fontId="38" fillId="52" borderId="0" xfId="0" applyNumberFormat="1" applyFont="1" applyFill="1" applyAlignment="1">
      <alignment/>
    </xf>
    <xf numFmtId="49" fontId="8" fillId="52" borderId="0" xfId="0" applyNumberFormat="1" applyFont="1" applyFill="1" applyAlignment="1">
      <alignment/>
    </xf>
    <xf numFmtId="49" fontId="8" fillId="52" borderId="0" xfId="0" applyNumberFormat="1" applyFont="1" applyFill="1" applyBorder="1" applyAlignment="1">
      <alignment/>
    </xf>
    <xf numFmtId="49" fontId="38" fillId="52" borderId="0" xfId="0" applyNumberFormat="1" applyFont="1" applyFill="1" applyBorder="1" applyAlignment="1">
      <alignment/>
    </xf>
    <xf numFmtId="210" fontId="8" fillId="52" borderId="0" xfId="0" applyNumberFormat="1" applyFont="1" applyFill="1" applyAlignment="1">
      <alignment/>
    </xf>
    <xf numFmtId="49" fontId="8" fillId="52" borderId="0" xfId="0" applyNumberFormat="1" applyFont="1" applyFill="1" applyAlignment="1">
      <alignment/>
    </xf>
    <xf numFmtId="49" fontId="8" fillId="52" borderId="0" xfId="0" applyNumberFormat="1" applyFont="1" applyFill="1" applyAlignment="1">
      <alignment horizontal="center"/>
    </xf>
    <xf numFmtId="49" fontId="38" fillId="52" borderId="0" xfId="0" applyNumberFormat="1" applyFont="1" applyFill="1" applyAlignment="1">
      <alignment/>
    </xf>
    <xf numFmtId="49" fontId="121" fillId="52" borderId="0" xfId="0" applyNumberFormat="1" applyFont="1" applyFill="1" applyBorder="1" applyAlignment="1">
      <alignment horizontal="center"/>
    </xf>
    <xf numFmtId="49" fontId="121" fillId="52" borderId="0" xfId="0" applyNumberFormat="1" applyFont="1" applyFill="1" applyBorder="1" applyAlignment="1">
      <alignment/>
    </xf>
    <xf numFmtId="49" fontId="18" fillId="52" borderId="0" xfId="0" applyNumberFormat="1" applyFont="1" applyFill="1" applyBorder="1" applyAlignment="1">
      <alignment/>
    </xf>
    <xf numFmtId="210" fontId="8" fillId="52" borderId="0" xfId="0" applyNumberFormat="1" applyFont="1" applyFill="1" applyBorder="1" applyAlignment="1">
      <alignment/>
    </xf>
    <xf numFmtId="49" fontId="8" fillId="52" borderId="20" xfId="0" applyNumberFormat="1" applyFont="1" applyFill="1" applyBorder="1" applyAlignment="1" applyProtection="1">
      <alignment horizontal="center" vertical="center" wrapText="1"/>
      <protection/>
    </xf>
    <xf numFmtId="49" fontId="8" fillId="52" borderId="20" xfId="0" applyNumberFormat="1" applyFont="1" applyFill="1" applyBorder="1" applyAlignment="1">
      <alignment horizontal="center" vertical="center" wrapText="1"/>
    </xf>
    <xf numFmtId="49" fontId="121" fillId="52" borderId="20" xfId="0" applyNumberFormat="1" applyFont="1" applyFill="1" applyBorder="1" applyAlignment="1" applyProtection="1">
      <alignment horizontal="center" vertical="center"/>
      <protection/>
    </xf>
    <xf numFmtId="49" fontId="18" fillId="52" borderId="20" xfId="0" applyNumberFormat="1" applyFont="1" applyFill="1" applyBorder="1" applyAlignment="1" applyProtection="1">
      <alignment horizontal="center" vertical="center"/>
      <protection/>
    </xf>
    <xf numFmtId="49" fontId="18" fillId="52" borderId="39" xfId="0" applyNumberFormat="1" applyFont="1" applyFill="1" applyBorder="1" applyAlignment="1" applyProtection="1">
      <alignment horizontal="center" vertical="center"/>
      <protection/>
    </xf>
    <xf numFmtId="4" fontId="20" fillId="52" borderId="20" xfId="305" applyNumberFormat="1" applyFont="1" applyFill="1" applyBorder="1" applyAlignment="1">
      <alignment horizontal="center" vertical="center" wrapText="1"/>
    </xf>
    <xf numFmtId="0" fontId="0" fillId="52" borderId="20" xfId="0" applyFont="1" applyFill="1" applyBorder="1" applyAlignment="1" applyProtection="1">
      <alignment horizontal="left" vertical="center"/>
      <protection/>
    </xf>
    <xf numFmtId="210" fontId="0" fillId="52" borderId="20" xfId="0" applyNumberFormat="1" applyFont="1" applyFill="1" applyBorder="1" applyAlignment="1" applyProtection="1">
      <alignment horizontal="left" vertical="center"/>
      <protection/>
    </xf>
    <xf numFmtId="210" fontId="20" fillId="52" borderId="20" xfId="0" applyNumberFormat="1" applyFont="1" applyFill="1" applyBorder="1" applyAlignment="1" applyProtection="1">
      <alignment vertical="center"/>
      <protection/>
    </xf>
    <xf numFmtId="210" fontId="20" fillId="52" borderId="20" xfId="303" applyNumberFormat="1" applyFont="1" applyFill="1" applyBorder="1" applyAlignment="1" applyProtection="1">
      <alignment vertical="center"/>
      <protection/>
    </xf>
    <xf numFmtId="210" fontId="20" fillId="52" borderId="20" xfId="0" applyNumberFormat="1" applyFont="1" applyFill="1" applyBorder="1" applyAlignment="1">
      <alignment/>
    </xf>
    <xf numFmtId="0" fontId="0" fillId="52" borderId="20" xfId="288" applyFont="1" applyFill="1" applyBorder="1" applyAlignment="1">
      <alignment horizontal="left"/>
      <protection/>
    </xf>
    <xf numFmtId="211" fontId="0" fillId="52" borderId="26" xfId="0" applyNumberFormat="1" applyFont="1" applyFill="1" applyBorder="1" applyAlignment="1" applyProtection="1">
      <alignment vertical="center" wrapText="1"/>
      <protection/>
    </xf>
    <xf numFmtId="49" fontId="0" fillId="52" borderId="20" xfId="0" applyNumberFormat="1" applyFont="1" applyFill="1" applyBorder="1" applyAlignment="1" applyProtection="1">
      <alignment horizontal="left" vertical="center"/>
      <protection/>
    </xf>
    <xf numFmtId="3" fontId="0" fillId="52" borderId="20" xfId="0" applyNumberFormat="1" applyFont="1" applyFill="1" applyBorder="1" applyAlignment="1" applyProtection="1">
      <alignment horizontal="left" vertical="center" wrapText="1" shrinkToFit="1"/>
      <protection locked="0"/>
    </xf>
    <xf numFmtId="49" fontId="0" fillId="52" borderId="20" xfId="0" applyNumberFormat="1" applyFont="1" applyFill="1" applyBorder="1" applyAlignment="1" applyProtection="1">
      <alignment vertical="center"/>
      <protection/>
    </xf>
    <xf numFmtId="211" fontId="0" fillId="52" borderId="20" xfId="0" applyNumberFormat="1" applyFont="1" applyFill="1" applyBorder="1" applyAlignment="1" applyProtection="1">
      <alignment vertical="center"/>
      <protection/>
    </xf>
    <xf numFmtId="0" fontId="8" fillId="52" borderId="0" xfId="0" applyNumberFormat="1" applyFont="1" applyFill="1" applyAlignment="1">
      <alignment/>
    </xf>
    <xf numFmtId="3" fontId="8" fillId="52" borderId="20" xfId="290" applyNumberFormat="1" applyFont="1" applyFill="1" applyBorder="1" applyAlignment="1" applyProtection="1">
      <alignment vertical="center"/>
      <protection/>
    </xf>
    <xf numFmtId="3" fontId="8" fillId="52" borderId="21" xfId="290" applyNumberFormat="1" applyFont="1" applyFill="1" applyBorder="1" applyAlignment="1" applyProtection="1">
      <alignment vertical="center"/>
      <protection/>
    </xf>
    <xf numFmtId="0" fontId="0" fillId="52" borderId="20" xfId="0" applyNumberFormat="1" applyFont="1" applyFill="1" applyBorder="1" applyAlignment="1" applyProtection="1">
      <alignment horizontal="left" vertical="center" wrapText="1"/>
      <protection/>
    </xf>
    <xf numFmtId="49" fontId="0" fillId="52" borderId="0" xfId="0" applyNumberFormat="1" applyFont="1" applyFill="1" applyAlignment="1">
      <alignment horizontal="left" vertical="center" wrapText="1"/>
    </xf>
    <xf numFmtId="0" fontId="0" fillId="52" borderId="21" xfId="0" applyNumberFormat="1" applyFont="1" applyFill="1" applyBorder="1" applyAlignment="1" applyProtection="1">
      <alignment horizontal="left" vertical="center" wrapText="1"/>
      <protection/>
    </xf>
    <xf numFmtId="0" fontId="34" fillId="52" borderId="0" xfId="0" applyNumberFormat="1" applyFont="1" applyFill="1" applyBorder="1" applyAlignment="1">
      <alignment horizontal="center" wrapText="1"/>
    </xf>
    <xf numFmtId="0" fontId="58" fillId="52" borderId="0" xfId="0" applyNumberFormat="1" applyFont="1" applyFill="1" applyBorder="1" applyAlignment="1">
      <alignment horizontal="center" wrapText="1"/>
    </xf>
    <xf numFmtId="210" fontId="107" fillId="52" borderId="0" xfId="0" applyNumberFormat="1" applyFont="1" applyFill="1" applyBorder="1" applyAlignment="1">
      <alignment/>
    </xf>
    <xf numFmtId="0" fontId="34" fillId="52" borderId="0" xfId="0" applyNumberFormat="1" applyFont="1" applyFill="1" applyBorder="1" applyAlignment="1">
      <alignment horizontal="left"/>
    </xf>
    <xf numFmtId="210" fontId="108" fillId="52" borderId="0" xfId="0" applyNumberFormat="1" applyFont="1" applyFill="1" applyBorder="1" applyAlignment="1">
      <alignment/>
    </xf>
    <xf numFmtId="210" fontId="20" fillId="52" borderId="20" xfId="290" applyNumberFormat="1" applyFont="1" applyFill="1" applyBorder="1" applyAlignment="1" applyProtection="1">
      <alignment vertical="center"/>
      <protection/>
    </xf>
    <xf numFmtId="210" fontId="20" fillId="52" borderId="20" xfId="0" applyNumberFormat="1" applyFont="1" applyFill="1" applyBorder="1" applyAlignment="1">
      <alignment vertical="center"/>
    </xf>
    <xf numFmtId="210" fontId="20" fillId="52" borderId="0" xfId="0" applyNumberFormat="1" applyFont="1" applyFill="1" applyAlignment="1">
      <alignment/>
    </xf>
    <xf numFmtId="210" fontId="20" fillId="52" borderId="20" xfId="0" applyNumberFormat="1" applyFont="1" applyFill="1" applyBorder="1" applyAlignment="1" applyProtection="1">
      <alignment vertical="center" wrapText="1"/>
      <protection/>
    </xf>
    <xf numFmtId="210" fontId="20" fillId="52" borderId="20" xfId="290" applyNumberFormat="1" applyFont="1" applyFill="1" applyBorder="1" applyAlignment="1">
      <alignment vertical="center" wrapText="1"/>
      <protection/>
    </xf>
    <xf numFmtId="210" fontId="20" fillId="52" borderId="20" xfId="0" applyNumberFormat="1" applyFont="1" applyFill="1" applyBorder="1" applyAlignment="1" applyProtection="1">
      <alignment/>
      <protection/>
    </xf>
    <xf numFmtId="210" fontId="20" fillId="52" borderId="20" xfId="299" applyNumberFormat="1" applyFont="1" applyFill="1" applyBorder="1" applyAlignment="1" applyProtection="1">
      <alignment vertical="center"/>
      <protection/>
    </xf>
    <xf numFmtId="210" fontId="20" fillId="52" borderId="20" xfId="305" applyNumberFormat="1" applyFont="1" applyFill="1" applyBorder="1" applyAlignment="1" applyProtection="1">
      <alignment vertical="center" wrapText="1"/>
      <protection/>
    </xf>
    <xf numFmtId="210" fontId="20" fillId="52" borderId="20" xfId="0" applyNumberFormat="1" applyFont="1" applyFill="1" applyBorder="1" applyAlignment="1">
      <alignment vertical="center" wrapText="1"/>
    </xf>
    <xf numFmtId="210" fontId="20" fillId="52" borderId="20" xfId="290" applyNumberFormat="1" applyFont="1" applyFill="1" applyBorder="1" applyAlignment="1" applyProtection="1">
      <alignment vertical="center" shrinkToFit="1"/>
      <protection/>
    </xf>
    <xf numFmtId="210" fontId="20" fillId="52" borderId="20" xfId="290" applyNumberFormat="1" applyFont="1" applyFill="1" applyBorder="1" applyAlignment="1" applyProtection="1">
      <alignment vertical="center" shrinkToFit="1"/>
      <protection locked="0"/>
    </xf>
    <xf numFmtId="210" fontId="20" fillId="52" borderId="20" xfId="290" applyNumberFormat="1" applyFont="1" applyFill="1" applyBorder="1" applyAlignment="1">
      <alignment vertical="center" shrinkToFit="1"/>
      <protection/>
    </xf>
    <xf numFmtId="210" fontId="20" fillId="52" borderId="0" xfId="290" applyNumberFormat="1" applyFont="1" applyFill="1" applyAlignment="1">
      <alignment/>
      <protection/>
    </xf>
    <xf numFmtId="210" fontId="20" fillId="52" borderId="20" xfId="290" applyNumberFormat="1" applyFont="1" applyFill="1" applyBorder="1" applyAlignment="1">
      <alignment/>
      <protection/>
    </xf>
    <xf numFmtId="210" fontId="20" fillId="52" borderId="20" xfId="0" applyNumberFormat="1" applyFont="1" applyFill="1" applyBorder="1" applyAlignment="1" applyProtection="1">
      <alignment vertical="center"/>
      <protection hidden="1"/>
    </xf>
    <xf numFmtId="210" fontId="20" fillId="52" borderId="20" xfId="299" applyNumberFormat="1" applyFont="1" applyFill="1" applyBorder="1" applyAlignment="1" applyProtection="1">
      <alignment vertical="center"/>
      <protection hidden="1"/>
    </xf>
    <xf numFmtId="210" fontId="20" fillId="52" borderId="20" xfId="0" applyNumberFormat="1" applyFont="1" applyFill="1" applyBorder="1" applyAlignment="1" applyProtection="1">
      <alignment/>
      <protection hidden="1"/>
    </xf>
    <xf numFmtId="210" fontId="20" fillId="52" borderId="20" xfId="95" applyNumberFormat="1" applyFont="1" applyFill="1" applyBorder="1" applyAlignment="1" applyProtection="1">
      <alignment/>
      <protection locked="0"/>
    </xf>
    <xf numFmtId="210" fontId="20" fillId="52" borderId="21" xfId="290" applyNumberFormat="1" applyFont="1" applyFill="1" applyBorder="1" applyAlignment="1" applyProtection="1">
      <alignment vertical="center"/>
      <protection/>
    </xf>
    <xf numFmtId="49" fontId="0" fillId="52" borderId="0" xfId="0" applyNumberFormat="1" applyFont="1" applyFill="1" applyAlignment="1">
      <alignment horizontal="left"/>
    </xf>
    <xf numFmtId="210" fontId="25" fillId="52" borderId="0" xfId="0" applyNumberFormat="1" applyFont="1" applyFill="1" applyAlignment="1">
      <alignment horizontal="left"/>
    </xf>
    <xf numFmtId="210" fontId="0" fillId="52" borderId="0" xfId="0" applyNumberFormat="1" applyFont="1" applyFill="1" applyAlignment="1">
      <alignment horizontal="left"/>
    </xf>
    <xf numFmtId="210" fontId="0" fillId="52" borderId="0" xfId="0" applyNumberFormat="1" applyFont="1" applyFill="1" applyBorder="1" applyAlignment="1">
      <alignment horizontal="left"/>
    </xf>
    <xf numFmtId="210" fontId="25" fillId="52" borderId="0" xfId="0" applyNumberFormat="1" applyFont="1" applyFill="1" applyBorder="1" applyAlignment="1">
      <alignment horizontal="left"/>
    </xf>
    <xf numFmtId="4" fontId="0" fillId="52" borderId="0" xfId="0" applyNumberFormat="1" applyFont="1" applyFill="1" applyBorder="1" applyAlignment="1">
      <alignment horizontal="left"/>
    </xf>
    <xf numFmtId="210" fontId="120" fillId="52" borderId="0" xfId="0" applyNumberFormat="1" applyFont="1" applyFill="1" applyAlignment="1">
      <alignment horizontal="left"/>
    </xf>
    <xf numFmtId="49" fontId="23" fillId="52" borderId="0" xfId="0" applyNumberFormat="1" applyFont="1" applyFill="1" applyAlignment="1">
      <alignment horizontal="left"/>
    </xf>
    <xf numFmtId="210" fontId="8" fillId="52" borderId="20" xfId="0" applyNumberFormat="1" applyFont="1" applyFill="1" applyBorder="1" applyAlignment="1" applyProtection="1">
      <alignment horizontal="center" vertical="center" wrapText="1"/>
      <protection/>
    </xf>
    <xf numFmtId="210" fontId="8" fillId="52" borderId="20" xfId="0" applyNumberFormat="1" applyFont="1" applyFill="1" applyBorder="1" applyAlignment="1">
      <alignment horizontal="center" vertical="center" wrapText="1"/>
    </xf>
    <xf numFmtId="210" fontId="118" fillId="52" borderId="20" xfId="0" applyNumberFormat="1" applyFont="1" applyFill="1" applyBorder="1" applyAlignment="1" applyProtection="1">
      <alignment horizontal="left" vertical="center"/>
      <protection/>
    </xf>
    <xf numFmtId="210" fontId="36" fillId="52" borderId="20" xfId="0" applyNumberFormat="1" applyFont="1" applyFill="1" applyBorder="1" applyAlignment="1" applyProtection="1">
      <alignment horizontal="left" vertical="center"/>
      <protection/>
    </xf>
    <xf numFmtId="4" fontId="36" fillId="52" borderId="39" xfId="0" applyNumberFormat="1" applyFont="1" applyFill="1" applyBorder="1" applyAlignment="1" applyProtection="1">
      <alignment horizontal="left" vertical="center"/>
      <protection/>
    </xf>
    <xf numFmtId="3" fontId="13" fillId="52" borderId="20" xfId="0" applyNumberFormat="1" applyFont="1" applyFill="1" applyBorder="1" applyAlignment="1" applyProtection="1">
      <alignment horizontal="right" vertical="center" wrapText="1"/>
      <protection/>
    </xf>
    <xf numFmtId="3" fontId="123" fillId="52" borderId="20" xfId="291" applyNumberFormat="1" applyFont="1" applyFill="1" applyBorder="1" applyAlignment="1" applyProtection="1">
      <alignment horizontal="right" vertical="center" wrapText="1"/>
      <protection/>
    </xf>
    <xf numFmtId="4" fontId="13" fillId="52" borderId="20" xfId="291" applyNumberFormat="1" applyFont="1" applyFill="1" applyBorder="1" applyAlignment="1">
      <alignment horizontal="center" vertical="center" wrapText="1"/>
      <protection/>
    </xf>
    <xf numFmtId="0" fontId="13" fillId="52" borderId="20" xfId="290" applyFont="1" applyFill="1" applyBorder="1" applyAlignment="1" applyProtection="1">
      <alignment horizontal="center" vertical="center" wrapText="1"/>
      <protection/>
    </xf>
    <xf numFmtId="210" fontId="13" fillId="52" borderId="20" xfId="290" applyNumberFormat="1" applyFont="1" applyFill="1" applyBorder="1" applyAlignment="1" applyProtection="1">
      <alignment horizontal="center" vertical="center" wrapText="1"/>
      <protection/>
    </xf>
    <xf numFmtId="210" fontId="13" fillId="52" borderId="20" xfId="0" applyNumberFormat="1" applyFont="1" applyFill="1" applyBorder="1" applyAlignment="1" applyProtection="1">
      <alignment horizontal="left" vertical="center"/>
      <protection/>
    </xf>
    <xf numFmtId="210" fontId="13" fillId="52" borderId="20" xfId="0" applyNumberFormat="1" applyFont="1" applyFill="1" applyBorder="1" applyAlignment="1" applyProtection="1">
      <alignment horizontal="right" vertical="center"/>
      <protection/>
    </xf>
    <xf numFmtId="210" fontId="13" fillId="52" borderId="20" xfId="290" applyNumberFormat="1" applyFont="1" applyFill="1" applyBorder="1" applyAlignment="1" applyProtection="1">
      <alignment horizontal="right" vertical="center"/>
      <protection/>
    </xf>
    <xf numFmtId="210" fontId="13" fillId="52" borderId="20" xfId="303" applyNumberFormat="1" applyFont="1" applyFill="1" applyBorder="1" applyAlignment="1" applyProtection="1">
      <alignment horizontal="right" vertical="center"/>
      <protection/>
    </xf>
    <xf numFmtId="210" fontId="13" fillId="52" borderId="20" xfId="0" applyNumberFormat="1" applyFont="1" applyFill="1" applyBorder="1" applyAlignment="1">
      <alignment horizontal="right"/>
    </xf>
    <xf numFmtId="210" fontId="13" fillId="52" borderId="20" xfId="0" applyNumberFormat="1" applyFont="1" applyFill="1" applyBorder="1" applyAlignment="1" applyProtection="1">
      <alignment vertical="center"/>
      <protection/>
    </xf>
    <xf numFmtId="210" fontId="13" fillId="52" borderId="20" xfId="303" applyNumberFormat="1" applyFont="1" applyFill="1" applyBorder="1" applyAlignment="1" applyProtection="1">
      <alignment vertical="center"/>
      <protection/>
    </xf>
    <xf numFmtId="210" fontId="13" fillId="52" borderId="20" xfId="0" applyNumberFormat="1" applyFont="1" applyFill="1" applyBorder="1" applyAlignment="1">
      <alignment/>
    </xf>
    <xf numFmtId="210" fontId="13" fillId="52" borderId="20" xfId="95" applyNumberFormat="1" applyFont="1" applyFill="1" applyBorder="1" applyAlignment="1">
      <alignment horizontal="right" vertical="center"/>
    </xf>
    <xf numFmtId="210" fontId="13" fillId="52" borderId="20" xfId="0" applyNumberFormat="1" applyFont="1" applyFill="1" applyBorder="1" applyAlignment="1">
      <alignment horizontal="right" vertical="center"/>
    </xf>
    <xf numFmtId="210" fontId="13" fillId="52" borderId="20" xfId="95" applyNumberFormat="1" applyFont="1" applyFill="1" applyBorder="1" applyAlignment="1">
      <alignment horizontal="right"/>
    </xf>
    <xf numFmtId="211" fontId="122" fillId="52" borderId="26" xfId="0" applyNumberFormat="1" applyFont="1" applyFill="1" applyBorder="1" applyAlignment="1" applyProtection="1">
      <alignment vertical="center" wrapText="1"/>
      <protection/>
    </xf>
    <xf numFmtId="210" fontId="13" fillId="52" borderId="20" xfId="0" applyNumberFormat="1" applyFont="1" applyFill="1" applyBorder="1" applyAlignment="1" applyProtection="1">
      <alignment horizontal="center" vertical="center"/>
      <protection/>
    </xf>
    <xf numFmtId="49" fontId="13" fillId="52" borderId="20" xfId="0" applyNumberFormat="1" applyFont="1" applyFill="1" applyBorder="1" applyAlignment="1" applyProtection="1">
      <alignment horizontal="left" vertical="center"/>
      <protection/>
    </xf>
    <xf numFmtId="1" fontId="13" fillId="52" borderId="20" xfId="0" applyNumberFormat="1" applyFont="1" applyFill="1" applyBorder="1" applyAlignment="1" applyProtection="1">
      <alignment horizontal="center" vertical="center"/>
      <protection/>
    </xf>
    <xf numFmtId="1" fontId="13" fillId="52" borderId="20" xfId="299" applyNumberFormat="1" applyFont="1" applyFill="1" applyBorder="1" applyAlignment="1" applyProtection="1">
      <alignment horizontal="center" vertical="center"/>
      <protection/>
    </xf>
    <xf numFmtId="1" fontId="13" fillId="52" borderId="20" xfId="0" applyNumberFormat="1" applyFont="1" applyFill="1" applyBorder="1" applyAlignment="1" applyProtection="1">
      <alignment horizontal="center"/>
      <protection/>
    </xf>
    <xf numFmtId="0" fontId="13" fillId="52" borderId="20" xfId="0" applyFont="1" applyFill="1" applyBorder="1" applyAlignment="1" applyProtection="1">
      <alignment horizontal="left" vertical="center"/>
      <protection/>
    </xf>
    <xf numFmtId="194" fontId="13" fillId="52" borderId="20" xfId="95" applyNumberFormat="1" applyFont="1" applyFill="1" applyBorder="1" applyAlignment="1" applyProtection="1">
      <alignment horizontal="center" vertical="center"/>
      <protection/>
    </xf>
    <xf numFmtId="194" fontId="13" fillId="52" borderId="20" xfId="95" applyNumberFormat="1" applyFont="1" applyFill="1" applyBorder="1" applyAlignment="1">
      <alignment horizontal="center"/>
    </xf>
    <xf numFmtId="0" fontId="13" fillId="52" borderId="20" xfId="288" applyFont="1" applyFill="1" applyBorder="1" applyAlignment="1">
      <alignment horizontal="left"/>
      <protection/>
    </xf>
    <xf numFmtId="3" fontId="13" fillId="52" borderId="20" xfId="305" applyNumberFormat="1" applyFont="1" applyFill="1" applyBorder="1" applyAlignment="1" applyProtection="1">
      <alignment horizontal="right" vertical="center" wrapText="1"/>
      <protection/>
    </xf>
    <xf numFmtId="3" fontId="13" fillId="52" borderId="20" xfId="0" applyNumberFormat="1" applyFont="1" applyFill="1" applyBorder="1" applyAlignment="1">
      <alignment horizontal="right" vertical="center" wrapText="1"/>
    </xf>
    <xf numFmtId="49" fontId="13" fillId="52" borderId="20" xfId="290" applyNumberFormat="1" applyFont="1" applyFill="1" applyBorder="1" applyAlignment="1" applyProtection="1">
      <alignment horizontal="center" vertical="center" wrapText="1"/>
      <protection/>
    </xf>
    <xf numFmtId="3" fontId="13" fillId="52" borderId="20" xfId="0" applyNumberFormat="1" applyFont="1" applyFill="1" applyBorder="1" applyAlignment="1" applyProtection="1">
      <alignment horizontal="left" vertical="center" wrapText="1" shrinkToFit="1"/>
      <protection locked="0"/>
    </xf>
    <xf numFmtId="194" fontId="13" fillId="52" borderId="20" xfId="290" applyNumberFormat="1" applyFont="1" applyFill="1" applyBorder="1" applyAlignment="1" applyProtection="1">
      <alignment horizontal="right" vertical="center" shrinkToFit="1"/>
      <protection/>
    </xf>
    <xf numFmtId="194" fontId="13" fillId="52" borderId="20" xfId="290" applyNumberFormat="1" applyFont="1" applyFill="1" applyBorder="1" applyAlignment="1" applyProtection="1">
      <alignment horizontal="right" vertical="center" shrinkToFit="1"/>
      <protection locked="0"/>
    </xf>
    <xf numFmtId="194" fontId="13" fillId="52" borderId="20" xfId="290" applyNumberFormat="1" applyFont="1" applyFill="1" applyBorder="1" applyAlignment="1">
      <alignment vertical="center" shrinkToFit="1"/>
      <protection/>
    </xf>
    <xf numFmtId="194" fontId="13" fillId="52" borderId="20" xfId="299" applyNumberFormat="1" applyFont="1" applyFill="1" applyBorder="1" applyAlignment="1" applyProtection="1">
      <alignment horizontal="right" vertical="center" shrinkToFit="1"/>
      <protection/>
    </xf>
    <xf numFmtId="194" fontId="13" fillId="52" borderId="20" xfId="95" applyNumberFormat="1" applyFont="1" applyFill="1" applyBorder="1" applyAlignment="1" applyProtection="1">
      <alignment horizontal="left" vertical="center"/>
      <protection/>
    </xf>
    <xf numFmtId="194" fontId="13" fillId="52" borderId="20" xfId="95" applyNumberFormat="1" applyFont="1" applyFill="1" applyBorder="1" applyAlignment="1">
      <alignment horizontal="center" vertical="center"/>
    </xf>
    <xf numFmtId="194" fontId="13" fillId="52" borderId="20" xfId="95" applyNumberFormat="1" applyFont="1" applyFill="1" applyBorder="1" applyAlignment="1">
      <alignment vertical="center"/>
    </xf>
    <xf numFmtId="211" fontId="13" fillId="52" borderId="20" xfId="0" applyNumberFormat="1" applyFont="1" applyFill="1" applyBorder="1" applyAlignment="1" applyProtection="1">
      <alignment vertical="center"/>
      <protection/>
    </xf>
    <xf numFmtId="3" fontId="13" fillId="52" borderId="20" xfId="0" applyNumberFormat="1" applyFont="1" applyFill="1" applyBorder="1" applyAlignment="1" applyProtection="1">
      <alignment horizontal="right" vertical="center"/>
      <protection/>
    </xf>
    <xf numFmtId="3" fontId="13" fillId="52" borderId="20" xfId="299" applyNumberFormat="1" applyFont="1" applyFill="1" applyBorder="1" applyAlignment="1" applyProtection="1">
      <alignment horizontal="right" vertical="center"/>
      <protection/>
    </xf>
    <xf numFmtId="3" fontId="13" fillId="52" borderId="20" xfId="0" applyNumberFormat="1" applyFont="1" applyFill="1" applyBorder="1" applyAlignment="1">
      <alignment horizontal="right"/>
    </xf>
    <xf numFmtId="217" fontId="13" fillId="52" borderId="20" xfId="0" applyNumberFormat="1" applyFont="1" applyFill="1" applyBorder="1" applyAlignment="1" applyProtection="1">
      <alignment horizontal="center" vertical="center"/>
      <protection hidden="1"/>
    </xf>
    <xf numFmtId="217" fontId="13" fillId="52" borderId="20" xfId="299" applyNumberFormat="1" applyFont="1" applyFill="1" applyBorder="1" applyAlignment="1" applyProtection="1">
      <alignment horizontal="center" vertical="center"/>
      <protection hidden="1"/>
    </xf>
    <xf numFmtId="217" fontId="13" fillId="52" borderId="20" xfId="0" applyNumberFormat="1" applyFont="1" applyFill="1" applyBorder="1" applyAlignment="1" applyProtection="1">
      <alignment horizontal="center"/>
      <protection hidden="1"/>
    </xf>
    <xf numFmtId="194" fontId="13" fillId="52" borderId="20" xfId="97" applyNumberFormat="1" applyFont="1" applyFill="1" applyBorder="1" applyAlignment="1" applyProtection="1">
      <alignment horizontal="center" vertical="center"/>
      <protection/>
    </xf>
    <xf numFmtId="3" fontId="13" fillId="52" borderId="20" xfId="284" applyNumberFormat="1" applyFont="1" applyFill="1" applyBorder="1" applyAlignment="1" applyProtection="1">
      <alignment horizontal="center" vertical="center"/>
      <protection locked="0"/>
    </xf>
    <xf numFmtId="210" fontId="13" fillId="52" borderId="20" xfId="0" applyNumberFormat="1" applyFont="1" applyFill="1" applyBorder="1" applyAlignment="1" applyProtection="1">
      <alignment horizontal="center"/>
      <protection/>
    </xf>
    <xf numFmtId="210" fontId="13" fillId="52" borderId="20" xfId="299" applyNumberFormat="1" applyFont="1" applyFill="1" applyBorder="1" applyAlignment="1" applyProtection="1">
      <alignment horizontal="center"/>
      <protection/>
    </xf>
    <xf numFmtId="210" fontId="13" fillId="52" borderId="20" xfId="0" applyNumberFormat="1" applyFont="1" applyFill="1" applyBorder="1" applyAlignment="1">
      <alignment horizontal="center"/>
    </xf>
    <xf numFmtId="3" fontId="13" fillId="52" borderId="20" xfId="290" applyNumberFormat="1" applyFont="1" applyFill="1" applyBorder="1" applyAlignment="1" applyProtection="1">
      <alignment horizontal="center" vertical="center"/>
      <protection/>
    </xf>
    <xf numFmtId="3" fontId="13" fillId="52" borderId="21" xfId="290" applyNumberFormat="1" applyFont="1" applyFill="1" applyBorder="1" applyAlignment="1" applyProtection="1">
      <alignment horizontal="center" vertical="center"/>
      <protection/>
    </xf>
    <xf numFmtId="49" fontId="13" fillId="52" borderId="20" xfId="284" applyNumberFormat="1" applyFont="1" applyFill="1" applyBorder="1" applyAlignment="1" applyProtection="1">
      <alignment vertical="center"/>
      <protection locked="0"/>
    </xf>
    <xf numFmtId="0" fontId="13" fillId="52" borderId="20" xfId="0" applyNumberFormat="1" applyFont="1" applyFill="1" applyBorder="1" applyAlignment="1" applyProtection="1">
      <alignment horizontal="left" vertical="center" wrapText="1"/>
      <protection/>
    </xf>
    <xf numFmtId="49" fontId="13" fillId="52" borderId="0" xfId="0" applyNumberFormat="1" applyFont="1" applyFill="1" applyAlignment="1">
      <alignment horizontal="left" vertical="center" wrapText="1"/>
    </xf>
    <xf numFmtId="0" fontId="13" fillId="52" borderId="21" xfId="0" applyNumberFormat="1" applyFont="1" applyFill="1" applyBorder="1" applyAlignment="1" applyProtection="1">
      <alignment horizontal="left" vertical="center" wrapText="1"/>
      <protection/>
    </xf>
    <xf numFmtId="210" fontId="13" fillId="52" borderId="20" xfId="284" applyNumberFormat="1" applyFont="1" applyFill="1" applyBorder="1" applyAlignment="1" applyProtection="1">
      <alignment horizontal="center" vertical="center"/>
      <protection locked="0"/>
    </xf>
    <xf numFmtId="49" fontId="13" fillId="52" borderId="20" xfId="0" applyNumberFormat="1" applyFont="1" applyFill="1" applyBorder="1" applyAlignment="1" applyProtection="1">
      <alignment vertical="center"/>
      <protection/>
    </xf>
    <xf numFmtId="210" fontId="13" fillId="52" borderId="20" xfId="299" applyNumberFormat="1" applyFont="1" applyFill="1" applyBorder="1" applyAlignment="1" applyProtection="1">
      <alignment horizontal="center" vertical="center"/>
      <protection/>
    </xf>
    <xf numFmtId="210" fontId="13" fillId="52" borderId="20" xfId="0" applyNumberFormat="1" applyFont="1" applyFill="1" applyBorder="1" applyAlignment="1">
      <alignment horizontal="center" vertical="center"/>
    </xf>
    <xf numFmtId="210" fontId="10" fillId="52" borderId="0" xfId="284" applyNumberFormat="1" applyFont="1" applyFill="1" applyBorder="1" applyAlignment="1" applyProtection="1">
      <alignment horizontal="left" vertical="center"/>
      <protection/>
    </xf>
    <xf numFmtId="210" fontId="34" fillId="52" borderId="0" xfId="0" applyNumberFormat="1" applyFont="1" applyFill="1" applyBorder="1" applyAlignment="1">
      <alignment horizontal="left" wrapText="1"/>
    </xf>
    <xf numFmtId="210" fontId="58" fillId="52" borderId="0" xfId="0" applyNumberFormat="1" applyFont="1" applyFill="1" applyBorder="1" applyAlignment="1">
      <alignment horizontal="left" wrapText="1"/>
    </xf>
    <xf numFmtId="210" fontId="30" fillId="52" borderId="0" xfId="0" applyNumberFormat="1" applyFont="1" applyFill="1" applyBorder="1" applyAlignment="1">
      <alignment horizontal="center" wrapText="1"/>
    </xf>
    <xf numFmtId="210" fontId="119" fillId="52" borderId="0" xfId="0" applyNumberFormat="1" applyFont="1" applyFill="1" applyBorder="1" applyAlignment="1">
      <alignment horizontal="center" wrapText="1"/>
    </xf>
    <xf numFmtId="0" fontId="13" fillId="51" borderId="20" xfId="290" applyFont="1" applyFill="1" applyBorder="1" applyAlignment="1" applyProtection="1">
      <alignment horizontal="center" vertical="center" wrapText="1"/>
      <protection/>
    </xf>
    <xf numFmtId="0" fontId="123" fillId="51" borderId="20" xfId="0" applyFont="1" applyFill="1" applyBorder="1" applyAlignment="1" applyProtection="1">
      <alignment horizontal="left" vertical="center"/>
      <protection/>
    </xf>
    <xf numFmtId="3" fontId="13" fillId="51" borderId="20" xfId="0" applyNumberFormat="1" applyFont="1" applyFill="1" applyBorder="1" applyAlignment="1" applyProtection="1">
      <alignment horizontal="right" vertical="center" wrapText="1"/>
      <protection/>
    </xf>
    <xf numFmtId="3" fontId="123" fillId="51" borderId="20" xfId="291" applyNumberFormat="1" applyFont="1" applyFill="1" applyBorder="1" applyAlignment="1" applyProtection="1">
      <alignment horizontal="right" vertical="center" wrapText="1"/>
      <protection/>
    </xf>
    <xf numFmtId="4" fontId="13" fillId="51" borderId="20" xfId="291" applyNumberFormat="1" applyFont="1" applyFill="1" applyBorder="1" applyAlignment="1">
      <alignment horizontal="center" vertical="center" wrapText="1"/>
      <protection/>
    </xf>
    <xf numFmtId="210" fontId="29" fillId="51" borderId="0" xfId="0" applyNumberFormat="1" applyFont="1" applyFill="1" applyAlignment="1">
      <alignment horizontal="left"/>
    </xf>
    <xf numFmtId="49" fontId="29" fillId="51" borderId="0" xfId="0" applyNumberFormat="1" applyFont="1" applyFill="1" applyAlignment="1">
      <alignment horizontal="left"/>
    </xf>
    <xf numFmtId="0" fontId="123" fillId="51" borderId="20" xfId="288" applyFont="1" applyFill="1" applyBorder="1" applyAlignment="1">
      <alignment horizontal="left"/>
      <protection/>
    </xf>
    <xf numFmtId="0" fontId="123" fillId="51" borderId="20" xfId="0" applyFont="1" applyFill="1" applyBorder="1" applyAlignment="1" applyProtection="1">
      <alignment horizontal="left" vertical="top"/>
      <protection/>
    </xf>
    <xf numFmtId="3" fontId="123" fillId="51" borderId="20" xfId="0" applyNumberFormat="1" applyFont="1" applyFill="1" applyBorder="1" applyAlignment="1" applyProtection="1">
      <alignment horizontal="right" vertical="center" wrapText="1"/>
      <protection/>
    </xf>
    <xf numFmtId="210" fontId="0" fillId="51" borderId="0" xfId="0" applyNumberFormat="1" applyFont="1" applyFill="1" applyAlignment="1">
      <alignment horizontal="left"/>
    </xf>
    <xf numFmtId="49" fontId="0" fillId="51" borderId="0" xfId="0" applyNumberFormat="1" applyFont="1" applyFill="1" applyAlignment="1">
      <alignment horizontal="left"/>
    </xf>
    <xf numFmtId="210" fontId="20" fillId="51" borderId="20" xfId="0" applyNumberFormat="1" applyFont="1" applyFill="1" applyBorder="1" applyAlignment="1" applyProtection="1">
      <alignment vertical="center" wrapText="1"/>
      <protection/>
    </xf>
    <xf numFmtId="210" fontId="20" fillId="51" borderId="20" xfId="290" applyNumberFormat="1" applyFont="1" applyFill="1" applyBorder="1" applyAlignment="1">
      <alignment vertical="center" wrapText="1"/>
      <protection/>
    </xf>
    <xf numFmtId="4" fontId="20" fillId="51" borderId="20" xfId="305" applyNumberFormat="1" applyFont="1" applyFill="1" applyBorder="1" applyAlignment="1">
      <alignment horizontal="center" vertical="center" wrapText="1"/>
    </xf>
    <xf numFmtId="215" fontId="8" fillId="51" borderId="0" xfId="0" applyNumberFormat="1" applyFont="1" applyFill="1" applyAlignment="1">
      <alignment/>
    </xf>
    <xf numFmtId="4" fontId="8" fillId="51" borderId="0" xfId="0" applyNumberFormat="1" applyFont="1" applyFill="1" applyAlignment="1">
      <alignment/>
    </xf>
    <xf numFmtId="49" fontId="8" fillId="51" borderId="0" xfId="0" applyNumberFormat="1" applyFont="1" applyFill="1" applyAlignment="1">
      <alignment/>
    </xf>
    <xf numFmtId="0" fontId="0" fillId="51" borderId="20" xfId="0" applyFont="1" applyFill="1" applyBorder="1" applyAlignment="1" applyProtection="1">
      <alignment horizontal="left" vertical="center"/>
      <protection/>
    </xf>
    <xf numFmtId="210" fontId="8" fillId="51" borderId="0" xfId="0" applyNumberFormat="1" applyFont="1" applyFill="1" applyAlignment="1">
      <alignment/>
    </xf>
    <xf numFmtId="0" fontId="0" fillId="51" borderId="20" xfId="288" applyFont="1" applyFill="1" applyBorder="1" applyAlignment="1">
      <alignment horizontal="left"/>
      <protection/>
    </xf>
    <xf numFmtId="49" fontId="10" fillId="52" borderId="0" xfId="0" applyNumberFormat="1" applyFont="1" applyFill="1" applyAlignment="1">
      <alignment horizontal="left"/>
    </xf>
    <xf numFmtId="49" fontId="24" fillId="52" borderId="0" xfId="0" applyNumberFormat="1" applyFont="1" applyFill="1" applyAlignment="1">
      <alignment horizontal="left"/>
    </xf>
    <xf numFmtId="0" fontId="10" fillId="51" borderId="20" xfId="290" applyFont="1" applyFill="1" applyBorder="1" applyAlignment="1" applyProtection="1">
      <alignment horizontal="center" vertical="center" wrapText="1"/>
      <protection/>
    </xf>
    <xf numFmtId="210" fontId="10" fillId="52" borderId="20" xfId="290" applyNumberFormat="1" applyFont="1" applyFill="1" applyBorder="1" applyAlignment="1" applyProtection="1">
      <alignment horizontal="center" vertical="center" wrapText="1"/>
      <protection/>
    </xf>
    <xf numFmtId="0" fontId="10" fillId="52" borderId="20" xfId="290" applyFont="1" applyFill="1" applyBorder="1" applyAlignment="1" applyProtection="1">
      <alignment horizontal="center" vertical="center" wrapText="1"/>
      <protection/>
    </xf>
    <xf numFmtId="49" fontId="10" fillId="52" borderId="20" xfId="290" applyNumberFormat="1" applyFont="1" applyFill="1" applyBorder="1" applyAlignment="1" applyProtection="1">
      <alignment horizontal="center" vertical="center" wrapText="1"/>
      <protection/>
    </xf>
    <xf numFmtId="0" fontId="10" fillId="52" borderId="0" xfId="0" applyNumberFormat="1" applyFont="1" applyFill="1" applyBorder="1" applyAlignment="1">
      <alignment horizontal="left"/>
    </xf>
    <xf numFmtId="0" fontId="10" fillId="0" borderId="0" xfId="0" applyNumberFormat="1" applyFont="1" applyFill="1" applyAlignment="1">
      <alignment horizontal="left"/>
    </xf>
    <xf numFmtId="0" fontId="11" fillId="0" borderId="0" xfId="0" applyNumberFormat="1" applyFont="1" applyFill="1" applyAlignment="1">
      <alignment horizontal="left"/>
    </xf>
    <xf numFmtId="0" fontId="10" fillId="0" borderId="0" xfId="0" applyNumberFormat="1" applyFont="1" applyFill="1" applyAlignment="1">
      <alignment horizontal="left" wrapText="1"/>
    </xf>
    <xf numFmtId="49" fontId="10" fillId="0" borderId="0" xfId="0" applyNumberFormat="1" applyFont="1" applyFill="1" applyAlignment="1">
      <alignment horizontal="left"/>
    </xf>
    <xf numFmtId="0" fontId="10" fillId="52" borderId="20" xfId="288" applyFont="1" applyFill="1" applyBorder="1" applyAlignment="1">
      <alignment horizontal="center"/>
      <protection/>
    </xf>
    <xf numFmtId="49" fontId="10" fillId="52" borderId="20" xfId="288" applyNumberFormat="1" applyFont="1" applyFill="1" applyBorder="1" applyAlignment="1">
      <alignment horizontal="left"/>
      <protection/>
    </xf>
    <xf numFmtId="3" fontId="10" fillId="52" borderId="20" xfId="288" applyNumberFormat="1" applyFont="1" applyFill="1" applyBorder="1" applyAlignment="1">
      <alignment/>
      <protection/>
    </xf>
    <xf numFmtId="211" fontId="10" fillId="52" borderId="20" xfId="288" applyNumberFormat="1" applyFont="1" applyFill="1" applyBorder="1" applyAlignment="1">
      <alignment/>
      <protection/>
    </xf>
    <xf numFmtId="49" fontId="10" fillId="52" borderId="20" xfId="288" applyNumberFormat="1" applyFont="1" applyFill="1" applyBorder="1" applyAlignment="1">
      <alignment/>
      <protection/>
    </xf>
    <xf numFmtId="0" fontId="10" fillId="52" borderId="20" xfId="288" applyNumberFormat="1" applyFont="1" applyFill="1" applyBorder="1" applyAlignment="1">
      <alignment/>
      <protection/>
    </xf>
    <xf numFmtId="49" fontId="10" fillId="52" borderId="0" xfId="289" applyNumberFormat="1" applyFont="1" applyFill="1" applyAlignment="1">
      <alignment vertical="center"/>
      <protection/>
    </xf>
    <xf numFmtId="3" fontId="10" fillId="47" borderId="0" xfId="289" applyNumberFormat="1" applyFont="1" applyFill="1" applyAlignment="1">
      <alignment vertical="center"/>
      <protection/>
    </xf>
    <xf numFmtId="0" fontId="35" fillId="52" borderId="20" xfId="288" applyFont="1" applyFill="1" applyBorder="1" applyAlignment="1">
      <alignment horizontal="center"/>
      <protection/>
    </xf>
    <xf numFmtId="0" fontId="35" fillId="52" borderId="20" xfId="288" applyFont="1" applyFill="1" applyBorder="1" applyAlignment="1">
      <alignment horizontal="left"/>
      <protection/>
    </xf>
    <xf numFmtId="0" fontId="8" fillId="52" borderId="20" xfId="0" applyFont="1" applyFill="1" applyBorder="1" applyAlignment="1">
      <alignment/>
    </xf>
    <xf numFmtId="0" fontId="32" fillId="52" borderId="0" xfId="289" applyFont="1" applyFill="1" applyAlignment="1">
      <alignment vertical="center"/>
      <protection/>
    </xf>
    <xf numFmtId="0" fontId="35" fillId="52" borderId="23" xfId="288" applyFont="1" applyFill="1" applyBorder="1" applyAlignment="1">
      <alignment horizontal="center"/>
      <protection/>
    </xf>
    <xf numFmtId="0" fontId="10" fillId="52" borderId="20" xfId="288" applyFont="1" applyFill="1" applyBorder="1" applyAlignment="1">
      <alignment horizontal="left"/>
      <protection/>
    </xf>
    <xf numFmtId="0" fontId="8" fillId="52" borderId="20" xfId="0" applyNumberFormat="1" applyFont="1" applyFill="1" applyBorder="1" applyAlignment="1">
      <alignment/>
    </xf>
    <xf numFmtId="0" fontId="116" fillId="52" borderId="0" xfId="0" applyNumberFormat="1" applyFont="1" applyFill="1" applyAlignment="1">
      <alignment/>
    </xf>
    <xf numFmtId="3" fontId="0" fillId="52" borderId="0" xfId="289" applyNumberFormat="1" applyFont="1" applyFill="1" applyBorder="1" applyAlignment="1">
      <alignment/>
      <protection/>
    </xf>
    <xf numFmtId="3" fontId="7" fillId="52" borderId="0" xfId="289" applyNumberFormat="1" applyFont="1" applyFill="1" applyBorder="1" applyAlignment="1">
      <alignment/>
      <protection/>
    </xf>
    <xf numFmtId="0" fontId="7" fillId="52" borderId="0" xfId="289" applyFont="1" applyFill="1">
      <alignment/>
      <protection/>
    </xf>
    <xf numFmtId="2" fontId="0" fillId="52" borderId="0" xfId="0" applyNumberFormat="1" applyFont="1" applyFill="1" applyAlignment="1">
      <alignment horizontal="left"/>
    </xf>
    <xf numFmtId="49" fontId="116" fillId="52" borderId="0" xfId="0" applyNumberFormat="1" applyFont="1" applyFill="1" applyAlignment="1">
      <alignment/>
    </xf>
    <xf numFmtId="2" fontId="116" fillId="52" borderId="0" xfId="0" applyNumberFormat="1" applyFont="1" applyFill="1" applyAlignment="1">
      <alignment horizontal="left"/>
    </xf>
    <xf numFmtId="0" fontId="0" fillId="52" borderId="0" xfId="289" applyFont="1" applyFill="1" applyBorder="1" applyAlignment="1">
      <alignment/>
      <protection/>
    </xf>
    <xf numFmtId="0" fontId="116" fillId="52" borderId="0" xfId="0" applyFont="1" applyFill="1" applyBorder="1" applyAlignment="1">
      <alignment/>
    </xf>
    <xf numFmtId="0" fontId="8" fillId="52" borderId="0" xfId="289" applyFont="1" applyFill="1" applyBorder="1" applyAlignment="1">
      <alignment horizontal="left"/>
      <protection/>
    </xf>
    <xf numFmtId="3" fontId="0" fillId="52" borderId="0" xfId="289" applyNumberFormat="1" applyFont="1" applyFill="1" applyAlignment="1">
      <alignment horizontal="left"/>
      <protection/>
    </xf>
    <xf numFmtId="0" fontId="0" fillId="52" borderId="0" xfId="289" applyFont="1" applyFill="1" applyAlignment="1">
      <alignment horizontal="left"/>
      <protection/>
    </xf>
    <xf numFmtId="0" fontId="18" fillId="52" borderId="0" xfId="289" applyFont="1" applyFill="1" applyBorder="1" applyAlignment="1">
      <alignment/>
      <protection/>
    </xf>
    <xf numFmtId="0" fontId="12" fillId="52" borderId="0" xfId="289" applyFont="1" applyFill="1" applyBorder="1" applyAlignment="1">
      <alignment/>
      <protection/>
    </xf>
    <xf numFmtId="0" fontId="8" fillId="52" borderId="20" xfId="289" applyFont="1" applyFill="1" applyBorder="1" applyAlignment="1">
      <alignment horizontal="center" vertical="center" wrapText="1"/>
      <protection/>
    </xf>
    <xf numFmtId="3" fontId="23" fillId="52" borderId="20" xfId="289" applyNumberFormat="1" applyFont="1" applyFill="1" applyBorder="1" applyAlignment="1">
      <alignment horizontal="center" vertical="center"/>
      <protection/>
    </xf>
    <xf numFmtId="0" fontId="0" fillId="52" borderId="0" xfId="289" applyFont="1" applyFill="1" applyAlignment="1">
      <alignment horizontal="center" vertical="center"/>
      <protection/>
    </xf>
    <xf numFmtId="3" fontId="115" fillId="52" borderId="20" xfId="0" applyNumberFormat="1" applyFont="1" applyFill="1" applyBorder="1" applyAlignment="1">
      <alignment horizontal="right"/>
    </xf>
    <xf numFmtId="0" fontId="113" fillId="52" borderId="20" xfId="288" applyFont="1" applyFill="1" applyBorder="1" applyAlignment="1">
      <alignment horizontal="center"/>
      <protection/>
    </xf>
    <xf numFmtId="0" fontId="113" fillId="52" borderId="20" xfId="288" applyFont="1" applyFill="1" applyBorder="1" applyAlignment="1">
      <alignment horizontal="left"/>
      <protection/>
    </xf>
    <xf numFmtId="0" fontId="113" fillId="52" borderId="23" xfId="288" applyFont="1" applyFill="1" applyBorder="1" applyAlignment="1">
      <alignment horizontal="center"/>
      <protection/>
    </xf>
    <xf numFmtId="0" fontId="7" fillId="52" borderId="0" xfId="289" applyFont="1" applyFill="1" applyAlignment="1">
      <alignment vertical="center"/>
      <protection/>
    </xf>
    <xf numFmtId="0" fontId="1" fillId="52" borderId="0" xfId="289" applyFont="1" applyFill="1">
      <alignment/>
      <protection/>
    </xf>
    <xf numFmtId="0" fontId="34" fillId="52" borderId="0" xfId="289" applyNumberFormat="1" applyFont="1" applyFill="1" applyBorder="1" applyAlignment="1">
      <alignment wrapText="1"/>
      <protection/>
    </xf>
    <xf numFmtId="0" fontId="34" fillId="52" borderId="0" xfId="289" applyNumberFormat="1" applyFont="1" applyFill="1" applyBorder="1" applyAlignment="1">
      <alignment/>
      <protection/>
    </xf>
    <xf numFmtId="0" fontId="32" fillId="52" borderId="0" xfId="289" applyFont="1" applyFill="1">
      <alignment/>
      <protection/>
    </xf>
    <xf numFmtId="0" fontId="30" fillId="52" borderId="0" xfId="289" applyNumberFormat="1" applyFont="1" applyFill="1" applyBorder="1" applyAlignment="1">
      <alignment/>
      <protection/>
    </xf>
    <xf numFmtId="0" fontId="30" fillId="52" borderId="0" xfId="289" applyNumberFormat="1" applyFont="1" applyFill="1" applyBorder="1" applyAlignment="1">
      <alignment horizontal="center" wrapText="1"/>
      <protection/>
    </xf>
    <xf numFmtId="0" fontId="30" fillId="52" borderId="0" xfId="289" applyNumberFormat="1" applyFont="1" applyFill="1" applyBorder="1" applyAlignment="1">
      <alignment horizontal="center"/>
      <protection/>
    </xf>
    <xf numFmtId="0" fontId="7" fillId="52" borderId="0" xfId="289" applyFont="1" applyFill="1" applyAlignment="1">
      <alignment horizontal="center"/>
      <protection/>
    </xf>
    <xf numFmtId="0" fontId="30" fillId="52" borderId="0" xfId="289" applyNumberFormat="1" applyFont="1" applyFill="1">
      <alignment/>
      <protection/>
    </xf>
    <xf numFmtId="0" fontId="78" fillId="52" borderId="0" xfId="289" applyNumberFormat="1" applyFont="1" applyFill="1" applyAlignment="1">
      <alignment horizontal="center"/>
      <protection/>
    </xf>
    <xf numFmtId="0" fontId="30" fillId="52" borderId="0" xfId="286" applyNumberFormat="1" applyFont="1" applyFill="1" applyAlignment="1">
      <alignment/>
      <protection/>
    </xf>
    <xf numFmtId="0" fontId="85" fillId="52" borderId="0" xfId="289" applyNumberFormat="1" applyFont="1" applyFill="1">
      <alignment/>
      <protection/>
    </xf>
    <xf numFmtId="49" fontId="26" fillId="52" borderId="0" xfId="289" applyNumberFormat="1" applyFont="1" applyFill="1">
      <alignment/>
      <protection/>
    </xf>
    <xf numFmtId="0" fontId="34" fillId="52" borderId="0" xfId="289" applyNumberFormat="1" applyFont="1" applyFill="1">
      <alignment/>
      <protection/>
    </xf>
    <xf numFmtId="49" fontId="10" fillId="52" borderId="0" xfId="289" applyNumberFormat="1" applyFont="1" applyFill="1">
      <alignment/>
      <protection/>
    </xf>
    <xf numFmtId="49" fontId="18" fillId="52" borderId="0" xfId="289" applyNumberFormat="1" applyFont="1" applyFill="1" applyBorder="1" applyAlignment="1">
      <alignment wrapText="1"/>
      <protection/>
    </xf>
    <xf numFmtId="0" fontId="37" fillId="52" borderId="0" xfId="289" applyNumberFormat="1" applyFont="1" applyFill="1" applyBorder="1" applyAlignment="1">
      <alignment wrapText="1"/>
      <protection/>
    </xf>
    <xf numFmtId="0" fontId="37" fillId="52" borderId="0" xfId="289" applyNumberFormat="1" applyFont="1" applyFill="1" applyBorder="1" applyAlignment="1">
      <alignment/>
      <protection/>
    </xf>
    <xf numFmtId="0" fontId="37" fillId="52" borderId="0" xfId="289" applyNumberFormat="1" applyFont="1" applyFill="1">
      <alignment/>
      <protection/>
    </xf>
    <xf numFmtId="0" fontId="30" fillId="52" borderId="0" xfId="289" applyFont="1" applyFill="1">
      <alignment/>
      <protection/>
    </xf>
    <xf numFmtId="49" fontId="0" fillId="52" borderId="0" xfId="289" applyNumberFormat="1" applyFont="1" applyFill="1" applyBorder="1" applyAlignment="1">
      <alignment/>
      <protection/>
    </xf>
    <xf numFmtId="49" fontId="7" fillId="52" borderId="0" xfId="289" applyNumberFormat="1" applyFont="1" applyFill="1" applyBorder="1" applyAlignment="1">
      <alignment/>
      <protection/>
    </xf>
    <xf numFmtId="49" fontId="32" fillId="52" borderId="0" xfId="289" applyNumberFormat="1" applyFont="1" applyFill="1">
      <alignment/>
      <protection/>
    </xf>
    <xf numFmtId="0" fontId="7" fillId="52" borderId="0" xfId="289" applyNumberFormat="1" applyFont="1" applyFill="1" applyBorder="1" applyAlignment="1">
      <alignment/>
      <protection/>
    </xf>
    <xf numFmtId="49" fontId="102" fillId="52" borderId="0" xfId="289" applyNumberFormat="1" applyFont="1" applyFill="1">
      <alignment/>
      <protection/>
    </xf>
    <xf numFmtId="49" fontId="0" fillId="52" borderId="0" xfId="0" applyNumberFormat="1" applyFont="1" applyFill="1" applyBorder="1" applyAlignment="1">
      <alignment horizontal="left"/>
    </xf>
    <xf numFmtId="49" fontId="32" fillId="52" borderId="0" xfId="289" applyNumberFormat="1" applyFont="1" applyFill="1" applyAlignment="1">
      <alignment horizontal="center"/>
      <protection/>
    </xf>
    <xf numFmtId="49" fontId="24" fillId="52" borderId="0" xfId="289" applyNumberFormat="1" applyFont="1" applyFill="1" applyBorder="1" applyAlignment="1">
      <alignment/>
      <protection/>
    </xf>
    <xf numFmtId="49" fontId="11" fillId="52" borderId="0" xfId="289" applyNumberFormat="1" applyFont="1" applyFill="1" applyBorder="1" applyAlignment="1">
      <alignment/>
      <protection/>
    </xf>
    <xf numFmtId="49" fontId="88" fillId="52" borderId="0" xfId="289" applyNumberFormat="1" applyFont="1" applyFill="1">
      <alignment/>
      <protection/>
    </xf>
    <xf numFmtId="49" fontId="11" fillId="52" borderId="20" xfId="289" applyNumberFormat="1" applyFont="1" applyFill="1" applyBorder="1" applyAlignment="1">
      <alignment horizontal="center" vertical="center" wrapText="1"/>
      <protection/>
    </xf>
    <xf numFmtId="49" fontId="11" fillId="52" borderId="25" xfId="289" applyNumberFormat="1" applyFont="1" applyFill="1" applyBorder="1" applyAlignment="1">
      <alignment horizontal="center" vertical="center" wrapText="1"/>
      <protection/>
    </xf>
    <xf numFmtId="49" fontId="24" fillId="52" borderId="27" xfId="289" applyNumberFormat="1" applyFont="1" applyFill="1" applyBorder="1" applyAlignment="1">
      <alignment horizontal="center" vertical="center"/>
      <protection/>
    </xf>
    <xf numFmtId="49" fontId="24" fillId="52" borderId="20" xfId="289" applyNumberFormat="1" applyFont="1" applyFill="1" applyBorder="1" applyAlignment="1">
      <alignment horizontal="center" vertical="center"/>
      <protection/>
    </xf>
    <xf numFmtId="210" fontId="38" fillId="52" borderId="20" xfId="0" applyNumberFormat="1" applyFont="1" applyFill="1" applyBorder="1" applyAlignment="1">
      <alignment horizontal="center"/>
    </xf>
    <xf numFmtId="49" fontId="32" fillId="52" borderId="0" xfId="289" applyNumberFormat="1" applyFont="1" applyFill="1" applyAlignment="1">
      <alignment vertical="center"/>
      <protection/>
    </xf>
    <xf numFmtId="210" fontId="38" fillId="52" borderId="27" xfId="0" applyNumberFormat="1" applyFont="1" applyFill="1" applyBorder="1" applyAlignment="1">
      <alignment horizontal="center"/>
    </xf>
    <xf numFmtId="210" fontId="8" fillId="52" borderId="27" xfId="0" applyNumberFormat="1" applyFont="1" applyFill="1" applyBorder="1" applyAlignment="1">
      <alignment horizontal="center"/>
    </xf>
    <xf numFmtId="210" fontId="8" fillId="52" borderId="20" xfId="0" applyNumberFormat="1" applyFont="1" applyFill="1" applyBorder="1" applyAlignment="1">
      <alignment horizontal="center"/>
    </xf>
    <xf numFmtId="49" fontId="1" fillId="52" borderId="0" xfId="289" applyNumberFormat="1" applyFont="1" applyFill="1">
      <alignment/>
      <protection/>
    </xf>
    <xf numFmtId="49" fontId="7" fillId="52" borderId="0" xfId="289" applyNumberFormat="1" applyFont="1" applyFill="1" applyAlignment="1">
      <alignment horizontal="center"/>
      <protection/>
    </xf>
    <xf numFmtId="49" fontId="7" fillId="52" borderId="0" xfId="289" applyNumberFormat="1" applyFont="1" applyFill="1">
      <alignment/>
      <protection/>
    </xf>
    <xf numFmtId="0" fontId="34" fillId="52" borderId="0" xfId="289" applyNumberFormat="1" applyFont="1" applyFill="1" applyAlignment="1">
      <alignment horizontal="center"/>
      <protection/>
    </xf>
    <xf numFmtId="49" fontId="85" fillId="52" borderId="0" xfId="289" applyNumberFormat="1" applyFont="1" applyFill="1">
      <alignment/>
      <protection/>
    </xf>
    <xf numFmtId="49" fontId="30" fillId="52" borderId="0" xfId="286" applyNumberFormat="1" applyFont="1" applyFill="1" applyAlignment="1">
      <alignment/>
      <protection/>
    </xf>
    <xf numFmtId="49" fontId="32" fillId="52" borderId="0" xfId="289" applyNumberFormat="1" applyFont="1" applyFill="1">
      <alignment/>
      <protection/>
    </xf>
    <xf numFmtId="49" fontId="0" fillId="52" borderId="0" xfId="289" applyNumberFormat="1" applyFont="1" applyFill="1" applyBorder="1" applyAlignment="1">
      <alignment/>
      <protection/>
    </xf>
    <xf numFmtId="49" fontId="0" fillId="52" borderId="0" xfId="0" applyNumberFormat="1" applyFont="1" applyFill="1" applyAlignment="1">
      <alignment/>
    </xf>
    <xf numFmtId="2" fontId="0" fillId="52" borderId="0" xfId="0" applyNumberFormat="1" applyFill="1" applyAlignment="1">
      <alignment horizontal="left"/>
    </xf>
    <xf numFmtId="49" fontId="19" fillId="52" borderId="0" xfId="289" applyNumberFormat="1" applyFont="1" applyFill="1" applyAlignment="1">
      <alignment wrapText="1"/>
      <protection/>
    </xf>
    <xf numFmtId="49" fontId="0" fillId="52" borderId="0" xfId="289" applyNumberFormat="1" applyFont="1" applyFill="1" applyAlignment="1">
      <alignment horizontal="left"/>
      <protection/>
    </xf>
    <xf numFmtId="49" fontId="11" fillId="52" borderId="22" xfId="289" applyNumberFormat="1" applyFont="1" applyFill="1" applyBorder="1" applyAlignment="1">
      <alignment/>
      <protection/>
    </xf>
    <xf numFmtId="49" fontId="32" fillId="52" borderId="0" xfId="289" applyNumberFormat="1" applyFont="1" applyFill="1" applyAlignment="1">
      <alignment vertical="center"/>
      <protection/>
    </xf>
    <xf numFmtId="210" fontId="10" fillId="52" borderId="20" xfId="0" applyNumberFormat="1" applyFont="1" applyFill="1" applyBorder="1" applyAlignment="1">
      <alignment horizontal="center"/>
    </xf>
    <xf numFmtId="49" fontId="85" fillId="52" borderId="0" xfId="289" applyNumberFormat="1" applyFont="1" applyFill="1">
      <alignment/>
      <protection/>
    </xf>
    <xf numFmtId="49" fontId="30" fillId="52" borderId="0" xfId="289" applyNumberFormat="1" applyFont="1" applyFill="1" applyBorder="1" applyAlignment="1">
      <alignment/>
      <protection/>
    </xf>
    <xf numFmtId="49" fontId="34" fillId="52" borderId="0" xfId="289" applyNumberFormat="1" applyFont="1" applyFill="1" applyAlignment="1">
      <alignment/>
      <protection/>
    </xf>
    <xf numFmtId="49" fontId="34" fillId="52" borderId="0" xfId="289" applyNumberFormat="1" applyFont="1" applyFill="1" applyAlignment="1">
      <alignment horizontal="center"/>
      <protection/>
    </xf>
    <xf numFmtId="0" fontId="30" fillId="52" borderId="0" xfId="289" applyFont="1" applyFill="1" applyBorder="1" applyAlignment="1">
      <alignment horizontal="center"/>
      <protection/>
    </xf>
    <xf numFmtId="49" fontId="7" fillId="52" borderId="0" xfId="286" applyNumberFormat="1" applyFont="1" applyFill="1" applyAlignment="1">
      <alignment wrapText="1"/>
      <protection/>
    </xf>
    <xf numFmtId="49" fontId="0" fillId="52" borderId="0" xfId="286" applyNumberFormat="1" applyFont="1" applyFill="1">
      <alignment/>
      <protection/>
    </xf>
    <xf numFmtId="49" fontId="0" fillId="52" borderId="0" xfId="286" applyNumberFormat="1" applyFont="1" applyFill="1">
      <alignment/>
      <protection/>
    </xf>
    <xf numFmtId="49" fontId="23" fillId="52" borderId="0" xfId="289" applyNumberFormat="1" applyFont="1" applyFill="1" applyAlignment="1">
      <alignment wrapText="1"/>
      <protection/>
    </xf>
    <xf numFmtId="49" fontId="32" fillId="52" borderId="0" xfId="289" applyNumberFormat="1" applyFont="1" applyFill="1" applyAlignment="1">
      <alignment horizontal="center"/>
      <protection/>
    </xf>
    <xf numFmtId="3" fontId="24" fillId="52" borderId="0" xfId="289" applyNumberFormat="1" applyFont="1" applyFill="1" applyBorder="1" applyAlignment="1">
      <alignment horizontal="center"/>
      <protection/>
    </xf>
    <xf numFmtId="49" fontId="10" fillId="52" borderId="0" xfId="289" applyNumberFormat="1" applyFont="1" applyFill="1" applyBorder="1" applyAlignment="1">
      <alignment/>
      <protection/>
    </xf>
    <xf numFmtId="49" fontId="32" fillId="52" borderId="0" xfId="289" applyNumberFormat="1" applyFont="1" applyFill="1" applyBorder="1" applyAlignment="1">
      <alignment horizontal="center"/>
      <protection/>
    </xf>
    <xf numFmtId="49" fontId="32" fillId="52" borderId="0" xfId="289" applyNumberFormat="1" applyFont="1" applyFill="1" applyBorder="1">
      <alignment/>
      <protection/>
    </xf>
    <xf numFmtId="3" fontId="24" fillId="52" borderId="22" xfId="289" applyNumberFormat="1" applyFont="1" applyFill="1" applyBorder="1" applyAlignment="1">
      <alignment horizontal="center"/>
      <protection/>
    </xf>
    <xf numFmtId="49" fontId="10" fillId="52" borderId="22" xfId="289" applyNumberFormat="1" applyFont="1" applyFill="1" applyBorder="1" applyAlignment="1">
      <alignment/>
      <protection/>
    </xf>
    <xf numFmtId="0" fontId="24" fillId="52" borderId="22" xfId="289" applyNumberFormat="1" applyFont="1" applyFill="1" applyBorder="1" applyAlignment="1">
      <alignment horizontal="center"/>
      <protection/>
    </xf>
    <xf numFmtId="210" fontId="0" fillId="52" borderId="20" xfId="0" applyNumberFormat="1" applyFont="1" applyFill="1" applyBorder="1" applyAlignment="1">
      <alignment/>
    </xf>
    <xf numFmtId="9" fontId="32" fillId="52" borderId="0" xfId="304" applyFont="1" applyFill="1" applyAlignment="1">
      <alignment/>
    </xf>
    <xf numFmtId="0" fontId="85" fillId="52" borderId="0" xfId="289" applyNumberFormat="1" applyFont="1" applyFill="1">
      <alignment/>
      <protection/>
    </xf>
    <xf numFmtId="0" fontId="85" fillId="52" borderId="0" xfId="289" applyNumberFormat="1" applyFont="1" applyFill="1" applyAlignment="1">
      <alignment horizontal="center"/>
      <protection/>
    </xf>
    <xf numFmtId="0" fontId="78" fillId="52" borderId="0" xfId="289" applyNumberFormat="1" applyFont="1" applyFill="1" applyAlignment="1">
      <alignment horizontal="left"/>
      <protection/>
    </xf>
    <xf numFmtId="0" fontId="37" fillId="52" borderId="0" xfId="289" applyNumberFormat="1" applyFont="1" applyFill="1" applyAlignment="1">
      <alignment horizontal="center"/>
      <protection/>
    </xf>
    <xf numFmtId="0" fontId="37" fillId="52" borderId="0" xfId="289" applyNumberFormat="1" applyFont="1" applyFill="1" applyAlignment="1">
      <alignment/>
      <protection/>
    </xf>
    <xf numFmtId="49" fontId="24" fillId="52" borderId="0" xfId="289" applyNumberFormat="1" applyFont="1" applyFill="1">
      <alignment/>
      <protection/>
    </xf>
    <xf numFmtId="49" fontId="85" fillId="52" borderId="0" xfId="289" applyNumberFormat="1" applyFont="1" applyFill="1" applyAlignment="1">
      <alignment horizontal="center"/>
      <protection/>
    </xf>
    <xf numFmtId="49" fontId="0" fillId="52" borderId="0" xfId="0" applyNumberFormat="1" applyFill="1" applyAlignment="1">
      <alignment/>
    </xf>
    <xf numFmtId="49" fontId="0" fillId="52" borderId="0" xfId="0" applyNumberFormat="1" applyFont="1" applyFill="1" applyAlignment="1">
      <alignment/>
    </xf>
    <xf numFmtId="49" fontId="0" fillId="52" borderId="0" xfId="0" applyNumberFormat="1" applyFont="1" applyFill="1" applyAlignment="1">
      <alignment/>
    </xf>
    <xf numFmtId="0" fontId="0" fillId="52" borderId="0" xfId="289" applyNumberFormat="1" applyFont="1" applyFill="1" applyAlignment="1">
      <alignment horizontal="left"/>
      <protection/>
    </xf>
    <xf numFmtId="0" fontId="19" fillId="52" borderId="0" xfId="289" applyNumberFormat="1" applyFont="1" applyFill="1" applyAlignment="1">
      <alignment wrapText="1"/>
      <protection/>
    </xf>
    <xf numFmtId="0" fontId="0" fillId="52" borderId="0" xfId="289" applyFont="1" applyFill="1" applyAlignment="1">
      <alignment/>
      <protection/>
    </xf>
    <xf numFmtId="0" fontId="20" fillId="52" borderId="0" xfId="289" applyFont="1" applyFill="1" applyAlignment="1">
      <alignment/>
      <protection/>
    </xf>
    <xf numFmtId="0" fontId="0" fillId="52" borderId="0" xfId="289" applyFont="1" applyFill="1" applyBorder="1" applyAlignment="1">
      <alignment horizontal="left"/>
      <protection/>
    </xf>
    <xf numFmtId="0" fontId="0" fillId="52" borderId="0" xfId="289" applyFont="1" applyFill="1" applyBorder="1" applyAlignment="1">
      <alignment horizontal="left"/>
      <protection/>
    </xf>
    <xf numFmtId="49" fontId="23" fillId="52" borderId="0" xfId="0" applyNumberFormat="1" applyFont="1" applyFill="1" applyAlignment="1">
      <alignment/>
    </xf>
    <xf numFmtId="49" fontId="0" fillId="52" borderId="0" xfId="0" applyNumberFormat="1" applyFont="1" applyFill="1" applyAlignment="1">
      <alignment/>
    </xf>
    <xf numFmtId="0" fontId="23" fillId="52" borderId="22" xfId="289" applyFont="1" applyFill="1" applyBorder="1" applyAlignment="1">
      <alignment/>
      <protection/>
    </xf>
    <xf numFmtId="0" fontId="23" fillId="52" borderId="22" xfId="289" applyFont="1" applyFill="1" applyBorder="1" applyAlignment="1">
      <alignment horizontal="left"/>
      <protection/>
    </xf>
    <xf numFmtId="0" fontId="32" fillId="52" borderId="0" xfId="289" applyFont="1" applyFill="1" applyAlignment="1">
      <alignment vertical="center"/>
      <protection/>
    </xf>
    <xf numFmtId="0" fontId="31" fillId="52" borderId="20" xfId="289" applyFont="1" applyFill="1" applyBorder="1" applyAlignment="1">
      <alignment horizontal="center" vertical="center" wrapText="1"/>
      <protection/>
    </xf>
    <xf numFmtId="0" fontId="80" fillId="52" borderId="26" xfId="289" applyFont="1" applyFill="1" applyBorder="1" applyAlignment="1">
      <alignment wrapText="1"/>
      <protection/>
    </xf>
    <xf numFmtId="0" fontId="80" fillId="52" borderId="25" xfId="289" applyFont="1" applyFill="1" applyBorder="1" applyAlignment="1">
      <alignment wrapText="1"/>
      <protection/>
    </xf>
    <xf numFmtId="3" fontId="110" fillId="52" borderId="37" xfId="289" applyNumberFormat="1" applyFont="1" applyFill="1" applyBorder="1" applyAlignment="1">
      <alignment horizontal="center" wrapText="1"/>
      <protection/>
    </xf>
    <xf numFmtId="0" fontId="24" fillId="52" borderId="23" xfId="289" applyFont="1" applyFill="1" applyBorder="1" applyAlignment="1">
      <alignment horizontal="center"/>
      <protection/>
    </xf>
    <xf numFmtId="0" fontId="110" fillId="52" borderId="37" xfId="289" applyFont="1" applyFill="1" applyBorder="1" applyAlignment="1">
      <alignment horizontal="center" wrapText="1"/>
      <protection/>
    </xf>
    <xf numFmtId="0" fontId="113" fillId="52" borderId="37" xfId="0" applyFont="1" applyFill="1" applyBorder="1" applyAlignment="1">
      <alignment horizontal="center" wrapText="1"/>
    </xf>
    <xf numFmtId="0" fontId="11" fillId="52" borderId="37" xfId="0" applyFont="1" applyFill="1" applyBorder="1" applyAlignment="1">
      <alignment horizontal="center" wrapText="1"/>
    </xf>
    <xf numFmtId="0" fontId="11" fillId="52" borderId="23" xfId="0" applyFont="1" applyFill="1" applyBorder="1" applyAlignment="1">
      <alignment horizontal="center" vertical="justify" wrapText="1"/>
    </xf>
    <xf numFmtId="0" fontId="10" fillId="52" borderId="23" xfId="0" applyFont="1" applyFill="1" applyBorder="1" applyAlignment="1">
      <alignment horizontal="center"/>
    </xf>
    <xf numFmtId="1" fontId="10" fillId="52" borderId="23" xfId="0" applyNumberFormat="1" applyFont="1" applyFill="1" applyBorder="1" applyAlignment="1">
      <alignment horizontal="center"/>
    </xf>
    <xf numFmtId="0" fontId="11" fillId="52" borderId="23" xfId="0" applyFont="1" applyFill="1" applyBorder="1" applyAlignment="1">
      <alignment vertical="justify" textRotation="90" wrapText="1"/>
    </xf>
    <xf numFmtId="0" fontId="89" fillId="52" borderId="0" xfId="289" applyFont="1" applyFill="1">
      <alignment/>
      <protection/>
    </xf>
    <xf numFmtId="0" fontId="34" fillId="52" borderId="0" xfId="289" applyFont="1" applyFill="1" applyBorder="1" applyAlignment="1">
      <alignment wrapText="1"/>
      <protection/>
    </xf>
    <xf numFmtId="0" fontId="85" fillId="52" borderId="0" xfId="289" applyFont="1" applyFill="1">
      <alignment/>
      <protection/>
    </xf>
    <xf numFmtId="0" fontId="10" fillId="52" borderId="0" xfId="289" applyFont="1" applyFill="1">
      <alignment/>
      <protection/>
    </xf>
    <xf numFmtId="0" fontId="34" fillId="52" borderId="0" xfId="289" applyFont="1" applyFill="1">
      <alignment/>
      <protection/>
    </xf>
    <xf numFmtId="0" fontId="30" fillId="52" borderId="0" xfId="286" applyFont="1" applyFill="1" applyAlignment="1">
      <alignment/>
      <protection/>
    </xf>
    <xf numFmtId="0" fontId="26" fillId="52" borderId="0" xfId="289" applyFont="1" applyFill="1">
      <alignment/>
      <protection/>
    </xf>
    <xf numFmtId="49" fontId="24" fillId="52" borderId="0" xfId="289" applyNumberFormat="1" applyFont="1" applyFill="1" applyAlignment="1">
      <alignment horizontal="left"/>
      <protection/>
    </xf>
    <xf numFmtId="49" fontId="7" fillId="52" borderId="0" xfId="289" applyNumberFormat="1" applyFont="1" applyFill="1" applyBorder="1" applyAlignment="1">
      <alignment horizontal="left"/>
      <protection/>
    </xf>
    <xf numFmtId="49" fontId="0" fillId="52" borderId="0" xfId="289" applyNumberFormat="1" applyFont="1" applyFill="1" applyBorder="1" applyAlignment="1">
      <alignment horizontal="left"/>
      <protection/>
    </xf>
    <xf numFmtId="49" fontId="0" fillId="52" borderId="0" xfId="289" applyNumberFormat="1" applyFont="1" applyFill="1" applyAlignment="1">
      <alignment/>
      <protection/>
    </xf>
    <xf numFmtId="0" fontId="7" fillId="52" borderId="0" xfId="289" applyNumberFormat="1" applyFont="1" applyFill="1" applyBorder="1" applyAlignment="1">
      <alignment horizontal="left"/>
      <protection/>
    </xf>
    <xf numFmtId="0" fontId="0" fillId="52" borderId="0" xfId="289" applyNumberFormat="1" applyFont="1" applyFill="1" applyBorder="1" applyAlignment="1">
      <alignment horizontal="left"/>
      <protection/>
    </xf>
    <xf numFmtId="49" fontId="20" fillId="52" borderId="0" xfId="289" applyNumberFormat="1" applyFont="1" applyFill="1" applyAlignment="1">
      <alignment/>
      <protection/>
    </xf>
    <xf numFmtId="49" fontId="0" fillId="52" borderId="0" xfId="289" applyNumberFormat="1" applyFont="1" applyFill="1" applyBorder="1" applyAlignment="1">
      <alignment horizontal="left"/>
      <protection/>
    </xf>
    <xf numFmtId="49" fontId="23" fillId="52" borderId="0" xfId="289" applyNumberFormat="1" applyFont="1" applyFill="1" applyBorder="1" applyAlignment="1">
      <alignment/>
      <protection/>
    </xf>
    <xf numFmtId="49" fontId="23" fillId="52" borderId="22" xfId="289" applyNumberFormat="1" applyFont="1" applyFill="1" applyBorder="1" applyAlignment="1">
      <alignment horizontal="left"/>
      <protection/>
    </xf>
    <xf numFmtId="49" fontId="29" fillId="52" borderId="20" xfId="289" applyNumberFormat="1" applyFont="1" applyFill="1" applyBorder="1" applyAlignment="1">
      <alignment horizontal="center" vertical="center" wrapText="1" readingOrder="1"/>
      <protection/>
    </xf>
    <xf numFmtId="49" fontId="32" fillId="52" borderId="0" xfId="289" applyNumberFormat="1" applyFont="1" applyFill="1" applyBorder="1">
      <alignment/>
      <protection/>
    </xf>
    <xf numFmtId="49" fontId="80" fillId="52" borderId="26" xfId="289" applyNumberFormat="1" applyFont="1" applyFill="1" applyBorder="1" applyAlignment="1">
      <alignment wrapText="1"/>
      <protection/>
    </xf>
    <xf numFmtId="49" fontId="80" fillId="52" borderId="25" xfId="289" applyNumberFormat="1" applyFont="1" applyFill="1" applyBorder="1" applyAlignment="1">
      <alignment wrapText="1"/>
      <protection/>
    </xf>
    <xf numFmtId="49" fontId="110" fillId="52" borderId="37" xfId="289" applyNumberFormat="1" applyFont="1" applyFill="1" applyBorder="1" applyAlignment="1">
      <alignment horizontal="center" wrapText="1"/>
      <protection/>
    </xf>
    <xf numFmtId="49" fontId="24" fillId="52" borderId="23" xfId="289" applyNumberFormat="1" applyFont="1" applyFill="1" applyBorder="1" applyAlignment="1">
      <alignment horizontal="center"/>
      <protection/>
    </xf>
    <xf numFmtId="49" fontId="17" fillId="52" borderId="0" xfId="289" applyNumberFormat="1" applyFont="1" applyFill="1" applyBorder="1" applyAlignment="1">
      <alignment vertical="justify" textRotation="90" wrapText="1"/>
      <protection/>
    </xf>
    <xf numFmtId="210" fontId="10" fillId="52" borderId="37" xfId="0" applyNumberFormat="1" applyFont="1" applyFill="1" applyBorder="1" applyAlignment="1">
      <alignment horizontal="right" wrapText="1"/>
    </xf>
    <xf numFmtId="210" fontId="10" fillId="52" borderId="20" xfId="0" applyNumberFormat="1" applyFont="1" applyFill="1" applyBorder="1" applyAlignment="1">
      <alignment horizontal="right"/>
    </xf>
    <xf numFmtId="210" fontId="10" fillId="52" borderId="20" xfId="0" applyNumberFormat="1" applyFont="1" applyFill="1" applyBorder="1" applyAlignment="1" applyProtection="1">
      <alignment horizontal="right" vertical="center"/>
      <protection/>
    </xf>
    <xf numFmtId="49" fontId="17" fillId="52" borderId="0" xfId="289" applyNumberFormat="1" applyFont="1" applyFill="1" applyBorder="1" applyAlignment="1">
      <alignment vertical="center" textRotation="90" wrapText="1"/>
      <protection/>
    </xf>
    <xf numFmtId="49" fontId="32" fillId="52" borderId="0" xfId="289" applyNumberFormat="1" applyFont="1" applyFill="1" applyBorder="1" applyAlignment="1">
      <alignment vertical="center"/>
      <protection/>
    </xf>
    <xf numFmtId="49" fontId="29" fillId="52" borderId="0" xfId="289" applyNumberFormat="1" applyFont="1" applyFill="1" applyBorder="1" applyAlignment="1">
      <alignment vertical="center" textRotation="90" wrapText="1"/>
      <protection/>
    </xf>
    <xf numFmtId="0" fontId="19" fillId="52" borderId="0" xfId="286" applyNumberFormat="1" applyFont="1" applyFill="1" applyAlignment="1">
      <alignment/>
      <protection/>
    </xf>
    <xf numFmtId="0" fontId="111" fillId="52" borderId="0" xfId="289" applyNumberFormat="1" applyFont="1" applyFill="1">
      <alignment/>
      <protection/>
    </xf>
    <xf numFmtId="49" fontId="21" fillId="52" borderId="0" xfId="289" applyNumberFormat="1" applyFont="1" applyFill="1" applyAlignment="1">
      <alignment horizontal="left"/>
      <protection/>
    </xf>
    <xf numFmtId="49" fontId="87" fillId="52" borderId="0" xfId="289" applyNumberFormat="1" applyFont="1" applyFill="1">
      <alignment/>
      <protection/>
    </xf>
    <xf numFmtId="49" fontId="18" fillId="52" borderId="0" xfId="289" applyNumberFormat="1" applyFont="1" applyFill="1" applyAlignment="1">
      <alignment horizontal="left"/>
      <protection/>
    </xf>
    <xf numFmtId="49" fontId="8" fillId="52" borderId="0" xfId="289" applyNumberFormat="1" applyFont="1" applyFill="1" applyAlignment="1">
      <alignment horizontal="left"/>
      <protection/>
    </xf>
    <xf numFmtId="49" fontId="87" fillId="52" borderId="0" xfId="289" applyNumberFormat="1" applyFont="1" applyFill="1" applyAlignment="1">
      <alignment horizontal="left"/>
      <protection/>
    </xf>
    <xf numFmtId="49" fontId="8" fillId="52" borderId="0" xfId="289" applyNumberFormat="1" applyFont="1" applyFill="1">
      <alignment/>
      <protection/>
    </xf>
    <xf numFmtId="9" fontId="32" fillId="52" borderId="0" xfId="307" applyFont="1" applyFill="1" applyAlignment="1">
      <alignment/>
    </xf>
    <xf numFmtId="49" fontId="0" fillId="52" borderId="0" xfId="286" applyNumberFormat="1" applyFont="1" applyFill="1" applyBorder="1" applyAlignment="1">
      <alignment horizontal="left"/>
      <protection/>
    </xf>
    <xf numFmtId="49" fontId="0" fillId="52" borderId="0" xfId="286" applyNumberFormat="1" applyFont="1" applyFill="1" applyAlignment="1">
      <alignment horizontal="left"/>
      <protection/>
    </xf>
    <xf numFmtId="49" fontId="8" fillId="52" borderId="20" xfId="286" applyNumberFormat="1" applyFont="1" applyFill="1" applyBorder="1" applyAlignment="1">
      <alignment horizontal="center" vertical="center" wrapText="1"/>
      <protection/>
    </xf>
    <xf numFmtId="49" fontId="10" fillId="52" borderId="20" xfId="286" applyNumberFormat="1" applyFont="1" applyFill="1" applyBorder="1" applyAlignment="1">
      <alignment horizontal="center" vertical="center" wrapText="1"/>
      <protection/>
    </xf>
    <xf numFmtId="49" fontId="18" fillId="52" borderId="20" xfId="286" applyNumberFormat="1" applyFont="1" applyFill="1" applyBorder="1" applyAlignment="1">
      <alignment horizontal="center"/>
      <protection/>
    </xf>
    <xf numFmtId="210" fontId="0" fillId="52" borderId="20" xfId="0" applyNumberFormat="1" applyFont="1" applyFill="1" applyBorder="1" applyAlignment="1">
      <alignment horizontal="center"/>
    </xf>
    <xf numFmtId="210" fontId="0" fillId="52" borderId="20" xfId="0" applyNumberFormat="1" applyFill="1" applyBorder="1" applyAlignment="1">
      <alignment horizontal="center"/>
    </xf>
    <xf numFmtId="0" fontId="35" fillId="52" borderId="23" xfId="288" applyFont="1" applyFill="1" applyBorder="1" applyAlignment="1">
      <alignment horizontal="left"/>
      <protection/>
    </xf>
    <xf numFmtId="0" fontId="0" fillId="52" borderId="20" xfId="0" applyNumberFormat="1" applyFill="1" applyBorder="1" applyAlignment="1">
      <alignment horizontal="center"/>
    </xf>
    <xf numFmtId="0" fontId="0" fillId="52" borderId="20" xfId="0" applyNumberFormat="1" applyFont="1" applyFill="1" applyBorder="1" applyAlignment="1">
      <alignment horizontal="center"/>
    </xf>
    <xf numFmtId="49" fontId="0" fillId="52" borderId="0" xfId="286" applyNumberFormat="1" applyFont="1" applyFill="1" applyBorder="1" applyAlignment="1">
      <alignment/>
      <protection/>
    </xf>
    <xf numFmtId="49" fontId="0" fillId="52" borderId="0" xfId="286" applyNumberFormat="1" applyFont="1" applyFill="1" applyBorder="1">
      <alignment/>
      <protection/>
    </xf>
    <xf numFmtId="49" fontId="24" fillId="52" borderId="22" xfId="286" applyNumberFormat="1" applyFont="1" applyFill="1" applyBorder="1" applyAlignment="1">
      <alignment/>
      <protection/>
    </xf>
    <xf numFmtId="49" fontId="10" fillId="52" borderId="22" xfId="286" applyNumberFormat="1" applyFont="1" applyFill="1" applyBorder="1" applyAlignment="1">
      <alignment horizontal="center"/>
      <protection/>
    </xf>
    <xf numFmtId="49" fontId="24" fillId="52" borderId="20" xfId="286" applyNumberFormat="1" applyFont="1" applyFill="1" applyBorder="1" applyAlignment="1">
      <alignment horizontal="center" vertical="center" wrapText="1"/>
      <protection/>
    </xf>
    <xf numFmtId="210" fontId="10" fillId="52" borderId="20" xfId="0" applyNumberFormat="1" applyFont="1" applyFill="1" applyBorder="1" applyAlignment="1">
      <alignment vertical="center" wrapText="1"/>
    </xf>
    <xf numFmtId="210" fontId="10" fillId="52" borderId="20" xfId="0" applyNumberFormat="1" applyFont="1" applyFill="1" applyBorder="1" applyAlignment="1">
      <alignment/>
    </xf>
    <xf numFmtId="210" fontId="10" fillId="52" borderId="20" xfId="0" applyNumberFormat="1" applyFont="1" applyFill="1" applyBorder="1" applyAlignment="1">
      <alignment horizontal="right" vertical="center" wrapText="1"/>
    </xf>
    <xf numFmtId="49" fontId="10" fillId="52" borderId="20" xfId="0" applyNumberFormat="1" applyFont="1" applyFill="1" applyBorder="1" applyAlignment="1">
      <alignment horizontal="right"/>
    </xf>
    <xf numFmtId="210" fontId="8" fillId="52" borderId="20" xfId="0" applyNumberFormat="1" applyFont="1" applyFill="1" applyBorder="1" applyAlignment="1">
      <alignment horizontal="right"/>
    </xf>
    <xf numFmtId="210" fontId="8" fillId="52" borderId="20" xfId="0" applyNumberFormat="1" applyFont="1" applyFill="1" applyBorder="1" applyAlignment="1">
      <alignment horizontal="right" vertical="center" wrapText="1"/>
    </xf>
    <xf numFmtId="3" fontId="10" fillId="52" borderId="20" xfId="286" applyNumberFormat="1" applyFont="1" applyFill="1" applyBorder="1" applyAlignment="1">
      <alignment vertical="center" wrapText="1"/>
      <protection/>
    </xf>
    <xf numFmtId="9" fontId="0" fillId="52" borderId="0" xfId="307" applyFont="1" applyFill="1" applyAlignment="1">
      <alignment/>
    </xf>
    <xf numFmtId="3" fontId="10" fillId="52" borderId="20" xfId="0" applyNumberFormat="1" applyFont="1" applyFill="1" applyBorder="1" applyAlignment="1">
      <alignment vertical="center" wrapText="1"/>
    </xf>
    <xf numFmtId="49" fontId="11" fillId="52" borderId="19" xfId="286" applyNumberFormat="1" applyFont="1" applyFill="1" applyBorder="1" applyAlignment="1">
      <alignment horizontal="center"/>
      <protection/>
    </xf>
    <xf numFmtId="49" fontId="11" fillId="52" borderId="19" xfId="286" applyNumberFormat="1" applyFont="1" applyFill="1" applyBorder="1" applyAlignment="1">
      <alignment horizontal="left"/>
      <protection/>
    </xf>
    <xf numFmtId="3" fontId="10" fillId="52" borderId="19" xfId="286" applyNumberFormat="1" applyFont="1" applyFill="1" applyBorder="1" applyAlignment="1">
      <alignment horizontal="center" vertical="center" wrapText="1"/>
      <protection/>
    </xf>
    <xf numFmtId="49" fontId="0" fillId="52" borderId="0" xfId="286" applyNumberFormat="1" applyFont="1" applyFill="1" applyAlignment="1">
      <alignment horizontal="center" vertical="center"/>
      <protection/>
    </xf>
    <xf numFmtId="49" fontId="20" fillId="52" borderId="0" xfId="286" applyNumberFormat="1" applyFont="1" applyFill="1" applyBorder="1" applyAlignment="1">
      <alignment horizontal="center" vertical="center" wrapText="1"/>
      <protection/>
    </xf>
    <xf numFmtId="49" fontId="20" fillId="52" borderId="0" xfId="286" applyNumberFormat="1" applyFont="1" applyFill="1" applyBorder="1" applyAlignment="1">
      <alignment wrapText="1"/>
      <protection/>
    </xf>
    <xf numFmtId="49" fontId="20" fillId="52" borderId="0" xfId="286" applyNumberFormat="1" applyFont="1" applyFill="1" applyBorder="1" applyAlignment="1">
      <alignment vertical="center" wrapText="1"/>
      <protection/>
    </xf>
    <xf numFmtId="0" fontId="7" fillId="52" borderId="0" xfId="286" applyFont="1" applyFill="1" applyAlignment="1">
      <alignment/>
      <protection/>
    </xf>
    <xf numFmtId="49" fontId="7" fillId="52" borderId="0" xfId="286" applyNumberFormat="1" applyFont="1" applyFill="1" applyAlignment="1">
      <alignment/>
      <protection/>
    </xf>
    <xf numFmtId="49" fontId="8" fillId="52" borderId="0" xfId="286" applyNumberFormat="1" applyFont="1" applyFill="1" applyBorder="1" applyAlignment="1">
      <alignment horizontal="left" vertical="center"/>
      <protection/>
    </xf>
    <xf numFmtId="49" fontId="20" fillId="52" borderId="0" xfId="286" applyNumberFormat="1" applyFont="1" applyFill="1" applyAlignment="1">
      <alignment/>
      <protection/>
    </xf>
    <xf numFmtId="49" fontId="0" fillId="52" borderId="0" xfId="286" applyNumberFormat="1" applyFont="1" applyFill="1" applyAlignment="1">
      <alignment/>
      <protection/>
    </xf>
    <xf numFmtId="49" fontId="0" fillId="52" borderId="0" xfId="286" applyNumberFormat="1" applyFont="1" applyFill="1" applyAlignment="1">
      <alignment horizontal="center"/>
      <protection/>
    </xf>
    <xf numFmtId="49" fontId="18" fillId="52" borderId="22" xfId="286" applyNumberFormat="1" applyFont="1" applyFill="1" applyBorder="1" applyAlignment="1">
      <alignment horizontal="left" vertical="center"/>
      <protection/>
    </xf>
    <xf numFmtId="49" fontId="10" fillId="52" borderId="21" xfId="286" applyNumberFormat="1" applyFont="1" applyFill="1" applyBorder="1" applyAlignment="1">
      <alignment horizontal="center" vertical="center" wrapText="1"/>
      <protection/>
    </xf>
    <xf numFmtId="49" fontId="10" fillId="52" borderId="20" xfId="286" applyNumberFormat="1" applyFont="1" applyFill="1" applyBorder="1" applyAlignment="1">
      <alignment horizontal="center" vertical="center" wrapText="1"/>
      <protection/>
    </xf>
    <xf numFmtId="49" fontId="60" fillId="52" borderId="20" xfId="286" applyNumberFormat="1" applyFont="1" applyFill="1" applyBorder="1" applyAlignment="1">
      <alignment horizontal="center" vertical="center" wrapText="1"/>
      <protection/>
    </xf>
    <xf numFmtId="49" fontId="0" fillId="52" borderId="0" xfId="286" applyNumberFormat="1" applyFont="1" applyFill="1" applyAlignment="1">
      <alignment vertical="center"/>
      <protection/>
    </xf>
    <xf numFmtId="210" fontId="8" fillId="52" borderId="20" xfId="0" applyNumberFormat="1" applyFont="1" applyFill="1" applyBorder="1" applyAlignment="1">
      <alignment horizontal="right" vertical="center"/>
    </xf>
    <xf numFmtId="210" fontId="8" fillId="52" borderId="20" xfId="93" applyNumberFormat="1" applyFont="1" applyFill="1" applyBorder="1" applyAlignment="1">
      <alignment horizontal="right" vertical="center"/>
    </xf>
    <xf numFmtId="210" fontId="8" fillId="52" borderId="20" xfId="97" applyNumberFormat="1" applyFont="1" applyFill="1" applyBorder="1" applyAlignment="1">
      <alignment horizontal="right" vertical="center"/>
    </xf>
    <xf numFmtId="49" fontId="10" fillId="52" borderId="0" xfId="286" applyNumberFormat="1" applyFont="1" applyFill="1" applyAlignment="1">
      <alignment horizontal="left" vertical="center"/>
      <protection/>
    </xf>
    <xf numFmtId="0" fontId="34" fillId="52" borderId="0" xfId="286" applyNumberFormat="1" applyFont="1" applyFill="1" applyBorder="1" applyAlignment="1">
      <alignment horizontal="center" wrapText="1"/>
      <protection/>
    </xf>
    <xf numFmtId="0" fontId="65" fillId="52" borderId="0" xfId="286" applyNumberFormat="1" applyFont="1" applyFill="1" applyBorder="1">
      <alignment/>
      <protection/>
    </xf>
    <xf numFmtId="49" fontId="1" fillId="52" borderId="0" xfId="286" applyNumberFormat="1" applyFont="1" applyFill="1">
      <alignment/>
      <protection/>
    </xf>
    <xf numFmtId="49" fontId="67" fillId="52" borderId="0" xfId="286" applyNumberFormat="1" applyFont="1" applyFill="1" applyBorder="1">
      <alignment/>
      <protection/>
    </xf>
    <xf numFmtId="0" fontId="30" fillId="52" borderId="0" xfId="286" applyNumberFormat="1" applyFont="1" applyFill="1" applyBorder="1" applyAlignment="1">
      <alignment horizontal="center" wrapText="1"/>
      <protection/>
    </xf>
    <xf numFmtId="0" fontId="68" fillId="52" borderId="0" xfId="286" applyNumberFormat="1" applyFont="1" applyFill="1" applyBorder="1">
      <alignment/>
      <protection/>
    </xf>
    <xf numFmtId="49" fontId="6" fillId="52" borderId="0" xfId="286" applyNumberFormat="1" applyFont="1" applyFill="1" applyBorder="1">
      <alignment/>
      <protection/>
    </xf>
    <xf numFmtId="0" fontId="34" fillId="52" borderId="0" xfId="286" applyNumberFormat="1" applyFont="1" applyFill="1">
      <alignment/>
      <protection/>
    </xf>
    <xf numFmtId="49" fontId="37" fillId="52" borderId="0" xfId="286" applyNumberFormat="1" applyFont="1" applyFill="1">
      <alignment/>
      <protection/>
    </xf>
    <xf numFmtId="49" fontId="34" fillId="52" borderId="0" xfId="286" applyNumberFormat="1" applyFont="1" applyFill="1">
      <alignment/>
      <protection/>
    </xf>
    <xf numFmtId="3" fontId="0" fillId="52" borderId="0" xfId="286" applyNumberFormat="1" applyFont="1" applyFill="1">
      <alignment/>
      <protection/>
    </xf>
    <xf numFmtId="0" fontId="24" fillId="52" borderId="0" xfId="289" applyNumberFormat="1" applyFont="1" applyFill="1" applyBorder="1" applyAlignment="1">
      <alignment horizontal="center"/>
      <protection/>
    </xf>
    <xf numFmtId="49" fontId="20" fillId="0" borderId="19" xfId="0" applyNumberFormat="1" applyFont="1" applyFill="1" applyBorder="1" applyAlignment="1">
      <alignment horizontal="center"/>
    </xf>
    <xf numFmtId="49" fontId="19" fillId="0" borderId="0" xfId="0" applyNumberFormat="1" applyFont="1" applyFill="1" applyBorder="1" applyAlignment="1">
      <alignment horizontal="center"/>
    </xf>
    <xf numFmtId="49" fontId="23" fillId="0" borderId="0" xfId="0" applyNumberFormat="1" applyFont="1" applyFill="1" applyAlignment="1">
      <alignment horizontal="center"/>
    </xf>
    <xf numFmtId="0" fontId="12" fillId="0" borderId="35" xfId="0" applyNumberFormat="1" applyFont="1" applyFill="1" applyBorder="1" applyAlignment="1">
      <alignment horizontal="center" vertical="center" wrapText="1"/>
    </xf>
    <xf numFmtId="0" fontId="12" fillId="0" borderId="36" xfId="0" applyNumberFormat="1" applyFont="1" applyFill="1" applyBorder="1" applyAlignment="1">
      <alignment horizontal="center" vertical="center" wrapText="1"/>
    </xf>
    <xf numFmtId="0" fontId="12" fillId="0" borderId="24" xfId="0" applyNumberFormat="1" applyFont="1" applyFill="1" applyBorder="1" applyAlignment="1">
      <alignment horizontal="center" vertical="center" wrapText="1"/>
    </xf>
    <xf numFmtId="0" fontId="12" fillId="0" borderId="40"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distributed" wrapText="1"/>
    </xf>
    <xf numFmtId="0" fontId="8" fillId="0" borderId="25" xfId="0" applyFont="1" applyFill="1" applyBorder="1" applyAlignment="1">
      <alignment horizontal="center" vertical="distributed"/>
    </xf>
    <xf numFmtId="49" fontId="12" fillId="0" borderId="41"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49" fontId="12" fillId="0" borderId="21" xfId="0" applyNumberFormat="1" applyFont="1" applyFill="1" applyBorder="1" applyAlignment="1">
      <alignment horizontal="center" vertical="center" wrapText="1"/>
    </xf>
    <xf numFmtId="0" fontId="8" fillId="0" borderId="38" xfId="0" applyFont="1" applyFill="1" applyBorder="1" applyAlignment="1">
      <alignment/>
    </xf>
    <xf numFmtId="49" fontId="12" fillId="0" borderId="26" xfId="0" applyNumberFormat="1" applyFont="1" applyFill="1" applyBorder="1" applyAlignment="1">
      <alignment horizontal="center" vertical="center" wrapText="1"/>
    </xf>
    <xf numFmtId="49" fontId="18" fillId="0" borderId="0" xfId="0" applyNumberFormat="1" applyFont="1" applyFill="1" applyAlignment="1">
      <alignment horizontal="left" wrapText="1"/>
    </xf>
    <xf numFmtId="49" fontId="11" fillId="0" borderId="26"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2" fillId="0" borderId="26" xfId="0" applyNumberFormat="1" applyFont="1" applyFill="1" applyBorder="1" applyAlignment="1">
      <alignment horizontal="center"/>
    </xf>
    <xf numFmtId="49" fontId="12" fillId="0" borderId="25" xfId="0" applyNumberFormat="1" applyFont="1" applyFill="1" applyBorder="1" applyAlignment="1">
      <alignment horizontal="center"/>
    </xf>
    <xf numFmtId="49" fontId="20" fillId="0" borderId="0" xfId="0" applyNumberFormat="1" applyFont="1" applyFill="1" applyBorder="1" applyAlignment="1">
      <alignment horizontal="center" wrapText="1"/>
    </xf>
    <xf numFmtId="49" fontId="18" fillId="0" borderId="0" xfId="0" applyNumberFormat="1" applyFont="1" applyFill="1" applyAlignment="1">
      <alignment/>
    </xf>
    <xf numFmtId="49" fontId="0" fillId="0" borderId="0" xfId="0" applyNumberFormat="1" applyFont="1" applyFill="1" applyBorder="1" applyAlignment="1">
      <alignment horizontal="center" wrapText="1"/>
    </xf>
    <xf numFmtId="49" fontId="7" fillId="0" borderId="0" xfId="0" applyNumberFormat="1" applyFont="1" applyFill="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30" fillId="0" borderId="0" xfId="285" applyNumberFormat="1" applyFont="1" applyBorder="1" applyAlignment="1">
      <alignment horizontal="center" wrapText="1"/>
      <protection/>
    </xf>
    <xf numFmtId="49" fontId="71" fillId="0" borderId="0" xfId="285" applyNumberFormat="1" applyFont="1" applyBorder="1" applyAlignment="1">
      <alignment horizontal="center" wrapText="1"/>
      <protection/>
    </xf>
    <xf numFmtId="49" fontId="46" fillId="0" borderId="0" xfId="285" applyNumberFormat="1" applyFont="1" applyBorder="1" applyAlignment="1">
      <alignment horizontal="center" wrapText="1"/>
      <protection/>
    </xf>
    <xf numFmtId="49" fontId="12" fillId="0" borderId="26" xfId="285" applyNumberFormat="1" applyFont="1" applyBorder="1" applyAlignment="1">
      <alignment horizontal="center" vertical="center" wrapText="1"/>
      <protection/>
    </xf>
    <xf numFmtId="49" fontId="12" fillId="0" borderId="41" xfId="285" applyNumberFormat="1" applyFont="1" applyBorder="1" applyAlignment="1">
      <alignment horizontal="center" vertical="center" wrapText="1"/>
      <protection/>
    </xf>
    <xf numFmtId="49" fontId="12" fillId="0" borderId="25" xfId="285" applyNumberFormat="1" applyFont="1" applyBorder="1" applyAlignment="1">
      <alignment horizontal="center" vertical="center" wrapText="1"/>
      <protection/>
    </xf>
    <xf numFmtId="49" fontId="12" fillId="0" borderId="26" xfId="285" applyNumberFormat="1" applyFont="1" applyFill="1" applyBorder="1" applyAlignment="1">
      <alignment horizontal="center" vertical="center" wrapText="1"/>
      <protection/>
    </xf>
    <xf numFmtId="49" fontId="33" fillId="0" borderId="25" xfId="285" applyNumberFormat="1" applyFont="1" applyFill="1" applyBorder="1" applyAlignment="1">
      <alignment horizontal="center" vertical="center" wrapText="1"/>
      <protection/>
    </xf>
    <xf numFmtId="49" fontId="34" fillId="0" borderId="0" xfId="285" applyNumberFormat="1" applyFont="1" applyAlignment="1">
      <alignment horizontal="center" wrapText="1"/>
      <protection/>
    </xf>
    <xf numFmtId="49" fontId="30" fillId="0" borderId="0" xfId="285" applyNumberFormat="1" applyFont="1" applyAlignment="1">
      <alignment horizontal="center"/>
      <protection/>
    </xf>
    <xf numFmtId="49" fontId="12" fillId="44" borderId="26" xfId="285" applyNumberFormat="1" applyFont="1" applyFill="1" applyBorder="1" applyAlignment="1">
      <alignment horizontal="center" vertical="center"/>
      <protection/>
    </xf>
    <xf numFmtId="49" fontId="12" fillId="44" borderId="25" xfId="285" applyNumberFormat="1" applyFont="1" applyFill="1" applyBorder="1" applyAlignment="1">
      <alignment horizontal="center" vertical="center"/>
      <protection/>
    </xf>
    <xf numFmtId="49" fontId="37" fillId="0" borderId="0" xfId="285" applyNumberFormat="1" applyFont="1" applyBorder="1" applyAlignment="1">
      <alignment horizontal="center" wrapText="1"/>
      <protection/>
    </xf>
    <xf numFmtId="49" fontId="19" fillId="47" borderId="0" xfId="285" applyNumberFormat="1" applyFont="1" applyFill="1" applyAlignment="1">
      <alignment horizontal="center" vertical="center" wrapText="1"/>
      <protection/>
    </xf>
    <xf numFmtId="49" fontId="7" fillId="0" borderId="0" xfId="285" applyNumberFormat="1" applyFont="1" applyAlignment="1">
      <alignment horizontal="left"/>
      <protection/>
    </xf>
    <xf numFmtId="49" fontId="0" fillId="3" borderId="35" xfId="285" applyNumberFormat="1" applyFont="1" applyFill="1" applyBorder="1" applyAlignment="1">
      <alignment horizontal="center"/>
      <protection/>
    </xf>
    <xf numFmtId="49" fontId="0" fillId="3" borderId="19" xfId="285" applyNumberFormat="1" applyFont="1" applyFill="1" applyBorder="1" applyAlignment="1">
      <alignment horizontal="center"/>
      <protection/>
    </xf>
    <xf numFmtId="49" fontId="0" fillId="3" borderId="36" xfId="285" applyNumberFormat="1" applyFont="1" applyFill="1" applyBorder="1" applyAlignment="1">
      <alignment horizontal="center"/>
      <protection/>
    </xf>
    <xf numFmtId="3" fontId="40" fillId="47" borderId="38" xfId="285" applyNumberFormat="1" applyFont="1" applyFill="1" applyBorder="1" applyAlignment="1" applyProtection="1">
      <alignment horizontal="center" vertical="center" wrapText="1"/>
      <protection/>
    </xf>
    <xf numFmtId="3" fontId="40" fillId="47" borderId="23" xfId="285" applyNumberFormat="1" applyFont="1" applyFill="1" applyBorder="1" applyAlignment="1" applyProtection="1">
      <alignment horizontal="center" vertical="center" wrapText="1"/>
      <protection/>
    </xf>
    <xf numFmtId="49" fontId="12" fillId="0" borderId="20" xfId="285" applyNumberFormat="1" applyFont="1" applyFill="1" applyBorder="1" applyAlignment="1" applyProtection="1">
      <alignment horizontal="center" vertical="center" wrapText="1"/>
      <protection/>
    </xf>
    <xf numFmtId="3" fontId="12" fillId="47" borderId="21" xfId="285" applyNumberFormat="1" applyFont="1" applyFill="1" applyBorder="1" applyAlignment="1" applyProtection="1">
      <alignment horizontal="center" vertical="center" wrapText="1"/>
      <protection/>
    </xf>
    <xf numFmtId="3" fontId="12" fillId="47" borderId="23" xfId="285" applyNumberFormat="1" applyFont="1" applyFill="1" applyBorder="1" applyAlignment="1" applyProtection="1">
      <alignment horizontal="center" vertical="center" wrapText="1"/>
      <protection/>
    </xf>
    <xf numFmtId="49" fontId="0" fillId="0" borderId="0" xfId="285" applyNumberFormat="1" applyFont="1" applyAlignment="1">
      <alignment horizontal="left"/>
      <protection/>
    </xf>
    <xf numFmtId="49" fontId="7" fillId="0" borderId="0" xfId="285" applyNumberFormat="1" applyFont="1" applyBorder="1" applyAlignment="1">
      <alignment horizontal="left" wrapText="1"/>
      <protection/>
    </xf>
    <xf numFmtId="49" fontId="0" fillId="0" borderId="0" xfId="285" applyNumberFormat="1" applyFont="1" applyBorder="1" applyAlignment="1">
      <alignment horizontal="left" wrapText="1"/>
      <protection/>
    </xf>
    <xf numFmtId="49" fontId="23" fillId="0" borderId="22" xfId="285" applyNumberFormat="1" applyFont="1" applyFill="1" applyBorder="1" applyAlignment="1">
      <alignment horizontal="center" vertical="center"/>
      <protection/>
    </xf>
    <xf numFmtId="49" fontId="12" fillId="0" borderId="20" xfId="285" applyNumberFormat="1" applyFont="1" applyFill="1" applyBorder="1" applyAlignment="1">
      <alignment horizontal="center" vertical="center" wrapText="1"/>
      <protection/>
    </xf>
    <xf numFmtId="49" fontId="23" fillId="0" borderId="0" xfId="285" applyNumberFormat="1" applyFont="1" applyAlignment="1">
      <alignment horizontal="left"/>
      <protection/>
    </xf>
    <xf numFmtId="49" fontId="39" fillId="0" borderId="0" xfId="285" applyNumberFormat="1" applyFont="1" applyAlignment="1">
      <alignment horizontal="center"/>
      <protection/>
    </xf>
    <xf numFmtId="0" fontId="61" fillId="3" borderId="26" xfId="285" applyNumberFormat="1" applyFont="1" applyFill="1" applyBorder="1" applyAlignment="1">
      <alignment horizontal="center" vertical="center" wrapText="1"/>
      <protection/>
    </xf>
    <xf numFmtId="0" fontId="61" fillId="3" borderId="25" xfId="285" applyNumberFormat="1" applyFont="1" applyFill="1" applyBorder="1" applyAlignment="1">
      <alignment horizontal="center" vertical="center" wrapText="1"/>
      <protection/>
    </xf>
    <xf numFmtId="0" fontId="62" fillId="3" borderId="26" xfId="285" applyNumberFormat="1" applyFont="1" applyFill="1" applyBorder="1" applyAlignment="1">
      <alignment horizontal="center" vertical="center" wrapText="1"/>
      <protection/>
    </xf>
    <xf numFmtId="0" fontId="62" fillId="3" borderId="25" xfId="285" applyNumberFormat="1" applyFont="1" applyFill="1" applyBorder="1" applyAlignment="1">
      <alignment horizontal="center" vertical="center" wrapText="1"/>
      <protection/>
    </xf>
    <xf numFmtId="0" fontId="21" fillId="0" borderId="20" xfId="285" applyNumberFormat="1" applyFont="1" applyBorder="1" applyAlignment="1">
      <alignment horizontal="center" vertical="center" wrapText="1"/>
      <protection/>
    </xf>
    <xf numFmtId="0" fontId="12" fillId="0" borderId="35" xfId="285" applyNumberFormat="1" applyFont="1" applyBorder="1" applyAlignment="1">
      <alignment horizontal="center" vertical="center" wrapText="1"/>
      <protection/>
    </xf>
    <xf numFmtId="0" fontId="12" fillId="0" borderId="36" xfId="285" applyNumberFormat="1" applyFont="1" applyBorder="1" applyAlignment="1">
      <alignment horizontal="center" vertical="center" wrapText="1"/>
      <protection/>
    </xf>
    <xf numFmtId="0" fontId="12" fillId="0" borderId="24" xfId="285" applyNumberFormat="1" applyFont="1" applyBorder="1" applyAlignment="1">
      <alignment horizontal="center" vertical="center" wrapText="1"/>
      <protection/>
    </xf>
    <xf numFmtId="0" fontId="12" fillId="0" borderId="40" xfId="285" applyNumberFormat="1" applyFont="1" applyBorder="1" applyAlignment="1">
      <alignment horizontal="center" vertical="center" wrapText="1"/>
      <protection/>
    </xf>
    <xf numFmtId="0" fontId="30" fillId="0" borderId="0" xfId="285" applyFont="1" applyAlignment="1">
      <alignment horizontal="center"/>
      <protection/>
    </xf>
    <xf numFmtId="49" fontId="30" fillId="47" borderId="0" xfId="285" applyNumberFormat="1" applyFont="1" applyFill="1" applyAlignment="1">
      <alignment horizontal="center"/>
      <protection/>
    </xf>
    <xf numFmtId="49" fontId="12" fillId="0" borderId="25" xfId="285" applyNumberFormat="1" applyFont="1" applyFill="1" applyBorder="1" applyAlignment="1">
      <alignment horizontal="center" vertical="center" wrapText="1"/>
      <protection/>
    </xf>
    <xf numFmtId="49" fontId="7" fillId="0" borderId="0" xfId="285" applyNumberFormat="1" applyFont="1" applyFill="1" applyAlignment="1">
      <alignment horizontal="left"/>
      <protection/>
    </xf>
    <xf numFmtId="49" fontId="11" fillId="0" borderId="20" xfId="285" applyNumberFormat="1" applyFont="1" applyFill="1" applyBorder="1" applyAlignment="1">
      <alignment horizontal="center" vertical="center" wrapText="1"/>
      <protection/>
    </xf>
    <xf numFmtId="49" fontId="11" fillId="0" borderId="26" xfId="285" applyNumberFormat="1" applyFont="1" applyFill="1" applyBorder="1" applyAlignment="1">
      <alignment horizontal="center" vertical="center" wrapText="1"/>
      <protection/>
    </xf>
    <xf numFmtId="49" fontId="11" fillId="0" borderId="41" xfId="285" applyNumberFormat="1" applyFont="1" applyFill="1" applyBorder="1" applyAlignment="1">
      <alignment horizontal="center" vertical="center" wrapText="1"/>
      <protection/>
    </xf>
    <xf numFmtId="49" fontId="11" fillId="0" borderId="25" xfId="285" applyNumberFormat="1" applyFont="1" applyFill="1" applyBorder="1" applyAlignment="1">
      <alignment horizontal="center" vertical="center" wrapText="1"/>
      <protection/>
    </xf>
    <xf numFmtId="49" fontId="23" fillId="0" borderId="0" xfId="285" applyNumberFormat="1" applyFont="1" applyFill="1" applyBorder="1" applyAlignment="1">
      <alignment horizontal="left"/>
      <protection/>
    </xf>
    <xf numFmtId="49" fontId="0" fillId="0" borderId="0" xfId="285" applyNumberFormat="1" applyFont="1" applyFill="1" applyAlignment="1">
      <alignment horizontal="justify" wrapText="1"/>
      <protection/>
    </xf>
    <xf numFmtId="49" fontId="7" fillId="0" borderId="0" xfId="285" applyNumberFormat="1" applyFont="1" applyFill="1" applyAlignment="1">
      <alignment horizontal="center" vertical="top" wrapText="1"/>
      <protection/>
    </xf>
    <xf numFmtId="49" fontId="12" fillId="44" borderId="26" xfId="285" applyNumberFormat="1" applyFont="1" applyFill="1" applyBorder="1" applyAlignment="1">
      <alignment horizontal="center"/>
      <protection/>
    </xf>
    <xf numFmtId="49" fontId="12" fillId="44" borderId="25" xfId="285" applyNumberFormat="1" applyFont="1" applyFill="1" applyBorder="1" applyAlignment="1">
      <alignment horizontal="center"/>
      <protection/>
    </xf>
    <xf numFmtId="49" fontId="26" fillId="0" borderId="26" xfId="285" applyNumberFormat="1" applyFont="1" applyFill="1" applyBorder="1" applyAlignment="1">
      <alignment horizontal="center" vertical="center" wrapText="1"/>
      <protection/>
    </xf>
    <xf numFmtId="49" fontId="26" fillId="0" borderId="25" xfId="285" applyNumberFormat="1" applyFont="1" applyFill="1" applyBorder="1" applyAlignment="1">
      <alignment horizontal="center" vertical="center" wrapText="1"/>
      <protection/>
    </xf>
    <xf numFmtId="0" fontId="11" fillId="0" borderId="35" xfId="285" applyNumberFormat="1" applyFont="1" applyFill="1" applyBorder="1" applyAlignment="1">
      <alignment horizontal="center" vertical="center" wrapText="1"/>
      <protection/>
    </xf>
    <xf numFmtId="0" fontId="11" fillId="0" borderId="36" xfId="285" applyNumberFormat="1" applyFont="1" applyFill="1" applyBorder="1" applyAlignment="1">
      <alignment horizontal="center" vertical="center" wrapText="1"/>
      <protection/>
    </xf>
    <xf numFmtId="0" fontId="11" fillId="0" borderId="24" xfId="285" applyNumberFormat="1" applyFont="1" applyFill="1" applyBorder="1" applyAlignment="1">
      <alignment horizontal="center" vertical="center" wrapText="1"/>
      <protection/>
    </xf>
    <xf numFmtId="0" fontId="11" fillId="0" borderId="40" xfId="285" applyNumberFormat="1" applyFont="1" applyFill="1" applyBorder="1" applyAlignment="1">
      <alignment horizontal="center" vertical="center" wrapText="1"/>
      <protection/>
    </xf>
    <xf numFmtId="0" fontId="11" fillId="0" borderId="27" xfId="285" applyNumberFormat="1" applyFont="1" applyFill="1" applyBorder="1" applyAlignment="1">
      <alignment horizontal="center" vertical="center" wrapText="1"/>
      <protection/>
    </xf>
    <xf numFmtId="0" fontId="11" fillId="0" borderId="37" xfId="285" applyNumberFormat="1" applyFont="1" applyFill="1" applyBorder="1" applyAlignment="1">
      <alignment horizontal="center" vertical="center" wrapText="1"/>
      <protection/>
    </xf>
    <xf numFmtId="49" fontId="11" fillId="0" borderId="38" xfId="285" applyNumberFormat="1" applyFont="1" applyFill="1" applyBorder="1" applyAlignment="1">
      <alignment horizontal="center" vertical="center" wrapText="1"/>
      <protection/>
    </xf>
    <xf numFmtId="49" fontId="11" fillId="0" borderId="23" xfId="285" applyNumberFormat="1" applyFont="1" applyFill="1" applyBorder="1" applyAlignment="1">
      <alignment horizontal="center" vertical="center" wrapText="1"/>
      <protection/>
    </xf>
    <xf numFmtId="49" fontId="74" fillId="3" borderId="26" xfId="285" applyNumberFormat="1" applyFont="1" applyFill="1" applyBorder="1" applyAlignment="1">
      <alignment horizontal="center" vertical="center" wrapText="1"/>
      <protection/>
    </xf>
    <xf numFmtId="49" fontId="74" fillId="3" borderId="25" xfId="285" applyNumberFormat="1" applyFont="1" applyFill="1" applyBorder="1" applyAlignment="1">
      <alignment horizontal="center" vertical="center" wrapText="1"/>
      <protection/>
    </xf>
    <xf numFmtId="49" fontId="73" fillId="3" borderId="26" xfId="285" applyNumberFormat="1" applyFont="1" applyFill="1" applyBorder="1" applyAlignment="1">
      <alignment horizontal="center" vertical="center" wrapText="1"/>
      <protection/>
    </xf>
    <xf numFmtId="49" fontId="73" fillId="3" borderId="25" xfId="285" applyNumberFormat="1" applyFont="1" applyFill="1" applyBorder="1" applyAlignment="1">
      <alignment horizontal="center" vertical="center" wrapText="1"/>
      <protection/>
    </xf>
    <xf numFmtId="49" fontId="7" fillId="0" borderId="20" xfId="285" applyNumberFormat="1" applyFont="1" applyFill="1" applyBorder="1" applyAlignment="1">
      <alignment horizontal="center"/>
      <protection/>
    </xf>
    <xf numFmtId="49" fontId="0" fillId="0" borderId="0" xfId="285" applyNumberFormat="1" applyFont="1" applyFill="1" applyBorder="1" applyAlignment="1">
      <alignment horizontal="left"/>
      <protection/>
    </xf>
    <xf numFmtId="49" fontId="7" fillId="0" borderId="0" xfId="285" applyNumberFormat="1" applyFont="1" applyFill="1" applyBorder="1" applyAlignment="1">
      <alignment horizontal="left"/>
      <protection/>
    </xf>
    <xf numFmtId="49" fontId="7" fillId="0" borderId="0" xfId="285" applyNumberFormat="1" applyFont="1" applyFill="1" applyBorder="1" applyAlignment="1">
      <alignment horizontal="left" wrapText="1"/>
      <protection/>
    </xf>
    <xf numFmtId="49" fontId="0" fillId="0" borderId="0" xfId="285" applyNumberFormat="1" applyFont="1" applyFill="1" applyBorder="1" applyAlignment="1">
      <alignment horizontal="left" wrapText="1"/>
      <protection/>
    </xf>
    <xf numFmtId="49" fontId="11" fillId="0" borderId="22" xfId="285" applyNumberFormat="1" applyFont="1" applyFill="1" applyBorder="1" applyAlignment="1">
      <alignment horizontal="center" vertical="center" wrapText="1"/>
      <protection/>
    </xf>
    <xf numFmtId="49" fontId="20" fillId="0" borderId="0" xfId="285" applyNumberFormat="1" applyFont="1" applyFill="1" applyBorder="1" applyAlignment="1">
      <alignment horizontal="center" vertical="center" wrapText="1"/>
      <protection/>
    </xf>
    <xf numFmtId="49" fontId="18" fillId="0" borderId="0" xfId="285" applyNumberFormat="1" applyFont="1" applyFill="1" applyAlignment="1">
      <alignment horizontal="left" wrapText="1"/>
      <protection/>
    </xf>
    <xf numFmtId="49" fontId="18" fillId="0" borderId="0" xfId="285" applyNumberFormat="1" applyFont="1" applyFill="1" applyAlignment="1">
      <alignment horizontal="center" wrapText="1"/>
      <protection/>
    </xf>
    <xf numFmtId="0" fontId="7" fillId="0" borderId="0" xfId="285" applyFont="1" applyAlignment="1">
      <alignment horizontal="center"/>
      <protection/>
    </xf>
    <xf numFmtId="49" fontId="7" fillId="47" borderId="0" xfId="285" applyNumberFormat="1" applyFont="1" applyFill="1" applyAlignment="1">
      <alignment horizontal="center"/>
      <protection/>
    </xf>
    <xf numFmtId="49" fontId="28" fillId="0" borderId="0" xfId="285" applyNumberFormat="1" applyFont="1" applyFill="1" applyBorder="1" applyAlignment="1">
      <alignment horizontal="center" wrapText="1"/>
      <protection/>
    </xf>
    <xf numFmtId="49" fontId="20" fillId="0" borderId="0" xfId="285" applyNumberFormat="1" applyFont="1" applyFill="1" applyBorder="1" applyAlignment="1">
      <alignment horizontal="center" wrapText="1"/>
      <protection/>
    </xf>
    <xf numFmtId="49" fontId="77" fillId="0" borderId="0" xfId="285" applyNumberFormat="1" applyFont="1" applyFill="1" applyAlignment="1">
      <alignment horizontal="center"/>
      <protection/>
    </xf>
    <xf numFmtId="49" fontId="23" fillId="0" borderId="0" xfId="285" applyNumberFormat="1" applyFont="1" applyFill="1" applyAlignment="1">
      <alignment horizontal="center"/>
      <protection/>
    </xf>
    <xf numFmtId="49" fontId="7" fillId="0" borderId="20" xfId="285" applyNumberFormat="1" applyFont="1" applyFill="1" applyBorder="1" applyAlignment="1">
      <alignment horizontal="center" vertical="center" wrapText="1"/>
      <protection/>
    </xf>
    <xf numFmtId="49" fontId="25" fillId="0" borderId="20" xfId="285" applyNumberFormat="1" applyFont="1" applyFill="1" applyBorder="1" applyAlignment="1">
      <alignment horizontal="center" vertical="center" wrapText="1"/>
      <protection/>
    </xf>
    <xf numFmtId="49" fontId="7" fillId="0" borderId="20" xfId="285" applyNumberFormat="1" applyFont="1" applyBorder="1" applyAlignment="1">
      <alignment horizontal="center"/>
      <protection/>
    </xf>
    <xf numFmtId="49" fontId="19" fillId="0" borderId="0" xfId="285" applyNumberFormat="1" applyFont="1" applyAlignment="1">
      <alignment horizontal="center" wrapText="1"/>
      <protection/>
    </xf>
    <xf numFmtId="49" fontId="23" fillId="0" borderId="22" xfId="285" applyNumberFormat="1" applyFont="1" applyBorder="1" applyAlignment="1">
      <alignment horizontal="left"/>
      <protection/>
    </xf>
    <xf numFmtId="49" fontId="23" fillId="0" borderId="0" xfId="285" applyNumberFormat="1" applyFont="1" applyAlignment="1">
      <alignment horizontal="center"/>
      <protection/>
    </xf>
    <xf numFmtId="49" fontId="23" fillId="0" borderId="0" xfId="285" applyNumberFormat="1" applyFont="1" applyBorder="1" applyAlignment="1">
      <alignment horizontal="left"/>
      <protection/>
    </xf>
    <xf numFmtId="49" fontId="0" fillId="0" borderId="0" xfId="285" applyNumberFormat="1" applyFont="1" applyAlignment="1">
      <alignment horizontal="left" wrapText="1"/>
      <protection/>
    </xf>
    <xf numFmtId="49" fontId="7" fillId="0" borderId="0" xfId="285" applyNumberFormat="1" applyFont="1" applyAlignment="1">
      <alignment horizontal="left" wrapText="1"/>
      <protection/>
    </xf>
    <xf numFmtId="49" fontId="0" fillId="0" borderId="0" xfId="285" applyNumberFormat="1" applyFont="1" applyAlignment="1">
      <alignment/>
      <protection/>
    </xf>
    <xf numFmtId="49" fontId="37" fillId="0" borderId="0" xfId="285" applyNumberFormat="1" applyFont="1" applyBorder="1" applyAlignment="1">
      <alignment horizontal="center"/>
      <protection/>
    </xf>
    <xf numFmtId="49" fontId="30" fillId="0" borderId="0" xfId="285" applyNumberFormat="1" applyFont="1" applyBorder="1" applyAlignment="1">
      <alignment horizontal="center"/>
      <protection/>
    </xf>
    <xf numFmtId="49" fontId="12" fillId="0" borderId="35" xfId="285" applyNumberFormat="1" applyFont="1" applyFill="1" applyBorder="1" applyAlignment="1">
      <alignment horizontal="center" vertical="center" wrapText="1"/>
      <protection/>
    </xf>
    <xf numFmtId="49" fontId="12" fillId="0" borderId="36" xfId="285" applyNumberFormat="1" applyFont="1" applyFill="1" applyBorder="1" applyAlignment="1">
      <alignment horizontal="center" vertical="center" wrapText="1"/>
      <protection/>
    </xf>
    <xf numFmtId="49" fontId="12" fillId="0" borderId="24" xfId="285" applyNumberFormat="1" applyFont="1" applyFill="1" applyBorder="1" applyAlignment="1">
      <alignment horizontal="center" vertical="center" wrapText="1"/>
      <protection/>
    </xf>
    <xf numFmtId="49" fontId="12" fillId="0" borderId="40" xfId="285" applyNumberFormat="1" applyFont="1" applyFill="1" applyBorder="1" applyAlignment="1">
      <alignment horizontal="center" vertical="center" wrapText="1"/>
      <protection/>
    </xf>
    <xf numFmtId="49" fontId="12" fillId="0" borderId="27" xfId="285" applyNumberFormat="1" applyFont="1" applyFill="1" applyBorder="1" applyAlignment="1">
      <alignment horizontal="center" vertical="center" wrapText="1"/>
      <protection/>
    </xf>
    <xf numFmtId="49" fontId="12" fillId="0" borderId="37" xfId="285" applyNumberFormat="1" applyFont="1" applyFill="1" applyBorder="1" applyAlignment="1">
      <alignment horizontal="center" vertical="center" wrapText="1"/>
      <protection/>
    </xf>
    <xf numFmtId="49" fontId="62" fillId="3" borderId="26" xfId="285" applyNumberFormat="1" applyFont="1" applyFill="1" applyBorder="1" applyAlignment="1">
      <alignment horizontal="center" wrapText="1"/>
      <protection/>
    </xf>
    <xf numFmtId="49" fontId="62" fillId="3" borderId="25" xfId="285" applyNumberFormat="1" applyFont="1" applyFill="1" applyBorder="1" applyAlignment="1">
      <alignment horizontal="center" wrapText="1"/>
      <protection/>
    </xf>
    <xf numFmtId="49" fontId="61" fillId="3" borderId="26" xfId="285" applyNumberFormat="1" applyFont="1" applyFill="1" applyBorder="1" applyAlignment="1">
      <alignment horizontal="center" wrapText="1"/>
      <protection/>
    </xf>
    <xf numFmtId="49" fontId="61" fillId="3" borderId="25" xfId="285" applyNumberFormat="1" applyFont="1" applyFill="1" applyBorder="1" applyAlignment="1">
      <alignment horizontal="center" wrapText="1"/>
      <protection/>
    </xf>
    <xf numFmtId="49" fontId="18" fillId="0" borderId="0" xfId="285" applyNumberFormat="1" applyFont="1" applyBorder="1" applyAlignment="1">
      <alignment wrapText="1"/>
      <protection/>
    </xf>
    <xf numFmtId="49" fontId="18" fillId="0" borderId="0" xfId="285" applyNumberFormat="1" applyFont="1" applyBorder="1" applyAlignment="1">
      <alignment horizontal="center" wrapText="1"/>
      <protection/>
    </xf>
    <xf numFmtId="49" fontId="12" fillId="44" borderId="26" xfId="285" applyNumberFormat="1" applyFont="1" applyFill="1" applyBorder="1" applyAlignment="1">
      <alignment horizontal="center" vertical="center" wrapText="1"/>
      <protection/>
    </xf>
    <xf numFmtId="49" fontId="12" fillId="44" borderId="25" xfId="285" applyNumberFormat="1" applyFont="1" applyFill="1" applyBorder="1" applyAlignment="1">
      <alignment horizontal="center" vertical="center" wrapText="1"/>
      <protection/>
    </xf>
    <xf numFmtId="49" fontId="21" fillId="0" borderId="26" xfId="285" applyNumberFormat="1" applyFont="1" applyBorder="1" applyAlignment="1">
      <alignment horizontal="center" wrapText="1"/>
      <protection/>
    </xf>
    <xf numFmtId="49" fontId="21" fillId="0" borderId="25" xfId="285" applyNumberFormat="1" applyFont="1" applyBorder="1" applyAlignment="1">
      <alignment horizontal="center" wrapText="1"/>
      <protection/>
    </xf>
    <xf numFmtId="49" fontId="34" fillId="0" borderId="0" xfId="285" applyNumberFormat="1" applyFont="1" applyBorder="1" applyAlignment="1">
      <alignment horizontal="center" wrapText="1"/>
      <protection/>
    </xf>
    <xf numFmtId="49" fontId="34" fillId="0" borderId="0" xfId="285" applyNumberFormat="1" applyFont="1" applyAlignment="1">
      <alignment horizontal="center"/>
      <protection/>
    </xf>
    <xf numFmtId="49" fontId="11" fillId="0" borderId="20" xfId="288" applyNumberFormat="1" applyFont="1" applyFill="1" applyBorder="1" applyAlignment="1">
      <alignment horizontal="center" vertical="center" wrapText="1"/>
      <protection/>
    </xf>
    <xf numFmtId="49" fontId="91" fillId="3" borderId="26" xfId="288" applyNumberFormat="1" applyFont="1" applyFill="1" applyBorder="1" applyAlignment="1">
      <alignment horizontal="center" vertical="center" wrapText="1"/>
      <protection/>
    </xf>
    <xf numFmtId="49" fontId="91" fillId="3" borderId="25" xfId="288" applyNumberFormat="1" applyFont="1" applyFill="1" applyBorder="1" applyAlignment="1">
      <alignment horizontal="center" vertical="center" wrapText="1"/>
      <protection/>
    </xf>
    <xf numFmtId="49" fontId="11" fillId="0" borderId="25" xfId="288" applyNumberFormat="1" applyFont="1" applyFill="1" applyBorder="1" applyAlignment="1">
      <alignment horizontal="center" vertical="center" wrapText="1"/>
      <protection/>
    </xf>
    <xf numFmtId="49" fontId="7" fillId="0" borderId="0" xfId="288" applyNumberFormat="1" applyFont="1" applyBorder="1" applyAlignment="1">
      <alignment horizontal="left"/>
      <protection/>
    </xf>
    <xf numFmtId="49" fontId="11" fillId="0" borderId="35" xfId="288" applyNumberFormat="1" applyFont="1" applyFill="1" applyBorder="1" applyAlignment="1">
      <alignment horizontal="center" vertical="center"/>
      <protection/>
    </xf>
    <xf numFmtId="49" fontId="11" fillId="0" borderId="36" xfId="288" applyNumberFormat="1" applyFont="1" applyFill="1" applyBorder="1" applyAlignment="1">
      <alignment horizontal="center" vertical="center"/>
      <protection/>
    </xf>
    <xf numFmtId="49" fontId="11" fillId="0" borderId="24" xfId="288" applyNumberFormat="1" applyFont="1" applyFill="1" applyBorder="1" applyAlignment="1">
      <alignment horizontal="center" vertical="center"/>
      <protection/>
    </xf>
    <xf numFmtId="49" fontId="11" fillId="0" borderId="40" xfId="288" applyNumberFormat="1" applyFont="1" applyFill="1" applyBorder="1" applyAlignment="1">
      <alignment horizontal="center" vertical="center"/>
      <protection/>
    </xf>
    <xf numFmtId="49" fontId="11" fillId="0" borderId="27" xfId="288" applyNumberFormat="1" applyFont="1" applyFill="1" applyBorder="1" applyAlignment="1">
      <alignment horizontal="center" vertical="center"/>
      <protection/>
    </xf>
    <xf numFmtId="49" fontId="11" fillId="0" borderId="37" xfId="288" applyNumberFormat="1" applyFont="1" applyFill="1" applyBorder="1" applyAlignment="1">
      <alignment horizontal="center" vertical="center"/>
      <protection/>
    </xf>
    <xf numFmtId="49" fontId="19" fillId="0" borderId="0" xfId="288" applyNumberFormat="1" applyFont="1" applyFill="1" applyAlignment="1">
      <alignment horizontal="center" wrapText="1"/>
      <protection/>
    </xf>
    <xf numFmtId="49" fontId="19" fillId="0" borderId="0" xfId="288" applyNumberFormat="1" applyFont="1" applyAlignment="1">
      <alignment horizontal="center"/>
      <protection/>
    </xf>
    <xf numFmtId="49" fontId="8" fillId="0" borderId="0" xfId="288" applyNumberFormat="1" applyFont="1" applyAlignment="1">
      <alignment horizontal="left"/>
      <protection/>
    </xf>
    <xf numFmtId="49" fontId="11" fillId="0" borderId="26" xfId="288" applyNumberFormat="1" applyFont="1" applyFill="1" applyBorder="1" applyAlignment="1">
      <alignment horizontal="center" vertical="center"/>
      <protection/>
    </xf>
    <xf numFmtId="49" fontId="11" fillId="0" borderId="41" xfId="288" applyNumberFormat="1" applyFont="1" applyFill="1" applyBorder="1" applyAlignment="1">
      <alignment horizontal="center" vertical="center"/>
      <protection/>
    </xf>
    <xf numFmtId="49" fontId="7" fillId="0" borderId="0" xfId="288" applyNumberFormat="1" applyFont="1" applyFill="1" applyAlignment="1">
      <alignment horizontal="left"/>
      <protection/>
    </xf>
    <xf numFmtId="49" fontId="39" fillId="0" borderId="0" xfId="288" applyNumberFormat="1" applyFont="1" applyAlignment="1">
      <alignment horizontal="center"/>
      <protection/>
    </xf>
    <xf numFmtId="49" fontId="23" fillId="0" borderId="0" xfId="288" applyNumberFormat="1" applyFont="1" applyBorder="1" applyAlignment="1">
      <alignment horizontal="left"/>
      <protection/>
    </xf>
    <xf numFmtId="49" fontId="11" fillId="0" borderId="26" xfId="288" applyNumberFormat="1" applyFont="1" applyFill="1" applyBorder="1" applyAlignment="1">
      <alignment horizontal="center" vertical="center" wrapText="1"/>
      <protection/>
    </xf>
    <xf numFmtId="49" fontId="92" fillId="3" borderId="26" xfId="288" applyNumberFormat="1" applyFont="1" applyFill="1" applyBorder="1" applyAlignment="1">
      <alignment horizontal="center" vertical="center" wrapText="1"/>
      <protection/>
    </xf>
    <xf numFmtId="49" fontId="92" fillId="3" borderId="25" xfId="288" applyNumberFormat="1" applyFont="1" applyFill="1" applyBorder="1" applyAlignment="1">
      <alignment horizontal="center" vertical="center" wrapText="1"/>
      <protection/>
    </xf>
    <xf numFmtId="49" fontId="34" fillId="0" borderId="0" xfId="288" applyNumberFormat="1" applyFont="1" applyAlignment="1">
      <alignment horizontal="center"/>
      <protection/>
    </xf>
    <xf numFmtId="0" fontId="30" fillId="47" borderId="0" xfId="288" applyFont="1" applyFill="1" applyBorder="1" applyAlignment="1">
      <alignment horizontal="center"/>
      <protection/>
    </xf>
    <xf numFmtId="49" fontId="37" fillId="0" borderId="0" xfId="288" applyNumberFormat="1" applyFont="1" applyAlignment="1">
      <alignment horizontal="center"/>
      <protection/>
    </xf>
    <xf numFmtId="49" fontId="30" fillId="0" borderId="0" xfId="288" applyNumberFormat="1" applyFont="1" applyBorder="1" applyAlignment="1">
      <alignment horizontal="center" wrapText="1"/>
      <protection/>
    </xf>
    <xf numFmtId="49" fontId="11" fillId="0" borderId="26" xfId="288" applyNumberFormat="1" applyFont="1" applyBorder="1" applyAlignment="1">
      <alignment horizontal="center" vertical="center" wrapText="1"/>
      <protection/>
    </xf>
    <xf numFmtId="49" fontId="11" fillId="0" borderId="25" xfId="288" applyNumberFormat="1" applyFont="1" applyBorder="1" applyAlignment="1">
      <alignment horizontal="center" vertical="center" wrapText="1"/>
      <protection/>
    </xf>
    <xf numFmtId="49" fontId="30" fillId="0" borderId="0" xfId="288" applyNumberFormat="1" applyFont="1" applyBorder="1" applyAlignment="1">
      <alignment horizontal="center"/>
      <protection/>
    </xf>
    <xf numFmtId="49" fontId="82" fillId="4" borderId="21" xfId="288" applyNumberFormat="1" applyFont="1" applyFill="1" applyBorder="1" applyAlignment="1">
      <alignment horizontal="center" vertical="center" wrapText="1"/>
      <protection/>
    </xf>
    <xf numFmtId="49" fontId="82" fillId="4" borderId="38" xfId="288" applyNumberFormat="1" applyFont="1" applyFill="1" applyBorder="1" applyAlignment="1">
      <alignment horizontal="center" vertical="center" wrapText="1"/>
      <protection/>
    </xf>
    <xf numFmtId="49" fontId="82" fillId="4" borderId="23" xfId="288" applyNumberFormat="1" applyFont="1" applyFill="1" applyBorder="1" applyAlignment="1">
      <alignment horizontal="center" vertical="center" wrapText="1"/>
      <protection/>
    </xf>
    <xf numFmtId="49" fontId="0" fillId="0" borderId="0" xfId="288" applyNumberFormat="1" applyFont="1" applyAlignment="1">
      <alignment horizontal="left"/>
      <protection/>
    </xf>
    <xf numFmtId="49" fontId="90" fillId="0" borderId="26" xfId="288" applyNumberFormat="1" applyFont="1" applyBorder="1" applyAlignment="1">
      <alignment horizontal="center" vertical="center" wrapText="1"/>
      <protection/>
    </xf>
    <xf numFmtId="49" fontId="90" fillId="0" borderId="25" xfId="288" applyNumberFormat="1" applyFont="1" applyBorder="1" applyAlignment="1">
      <alignment horizontal="center" vertical="center" wrapText="1"/>
      <protection/>
    </xf>
    <xf numFmtId="49" fontId="37" fillId="0" borderId="0" xfId="288" applyNumberFormat="1" applyFont="1" applyBorder="1" applyAlignment="1">
      <alignment horizontal="center" wrapText="1"/>
      <protection/>
    </xf>
    <xf numFmtId="49" fontId="11" fillId="0" borderId="21" xfId="288" applyNumberFormat="1" applyFont="1" applyFill="1" applyBorder="1" applyAlignment="1">
      <alignment horizontal="center" vertical="center" wrapText="1"/>
      <protection/>
    </xf>
    <xf numFmtId="49" fontId="11" fillId="0" borderId="38" xfId="288" applyNumberFormat="1" applyFont="1" applyFill="1" applyBorder="1" applyAlignment="1">
      <alignment horizontal="center" vertical="center" wrapText="1"/>
      <protection/>
    </xf>
    <xf numFmtId="49" fontId="11" fillId="0" borderId="23" xfId="288" applyNumberFormat="1" applyFont="1" applyFill="1" applyBorder="1" applyAlignment="1">
      <alignment horizontal="center" vertical="center" wrapText="1"/>
      <protection/>
    </xf>
    <xf numFmtId="49" fontId="18" fillId="0" borderId="0" xfId="288" applyNumberFormat="1" applyFont="1" applyAlignment="1">
      <alignment horizontal="center"/>
      <protection/>
    </xf>
    <xf numFmtId="49" fontId="37" fillId="0" borderId="0" xfId="288" applyNumberFormat="1" applyFont="1" applyBorder="1" applyAlignment="1">
      <alignment horizontal="center"/>
      <protection/>
    </xf>
    <xf numFmtId="0" fontId="11" fillId="0" borderId="20" xfId="288" applyFont="1" applyBorder="1" applyAlignment="1">
      <alignment horizontal="center" vertical="center" wrapText="1"/>
      <protection/>
    </xf>
    <xf numFmtId="0" fontId="11" fillId="0" borderId="20" xfId="288" applyFont="1" applyFill="1" applyBorder="1" applyAlignment="1">
      <alignment horizontal="center" vertical="center" wrapText="1"/>
      <protection/>
    </xf>
    <xf numFmtId="0" fontId="17" fillId="0" borderId="20" xfId="288" applyFont="1" applyBorder="1" applyAlignment="1">
      <alignment horizontal="center" vertical="center" wrapText="1"/>
      <protection/>
    </xf>
    <xf numFmtId="3" fontId="0" fillId="47" borderId="0" xfId="288" applyNumberFormat="1" applyFont="1" applyFill="1" applyBorder="1" applyAlignment="1">
      <alignment horizontal="left"/>
      <protection/>
    </xf>
    <xf numFmtId="0" fontId="7" fillId="0" borderId="0" xfId="288" applyFont="1" applyBorder="1" applyAlignment="1">
      <alignment horizontal="left"/>
      <protection/>
    </xf>
    <xf numFmtId="0" fontId="0" fillId="0" borderId="0" xfId="288" applyFont="1" applyBorder="1" applyAlignment="1">
      <alignment horizontal="left"/>
      <protection/>
    </xf>
    <xf numFmtId="0" fontId="94" fillId="0" borderId="0" xfId="288" applyFont="1" applyAlignment="1">
      <alignment horizontal="center"/>
      <protection/>
    </xf>
    <xf numFmtId="0" fontId="7" fillId="0" borderId="0" xfId="288" applyNumberFormat="1" applyFont="1" applyAlignment="1">
      <alignment horizontal="left"/>
      <protection/>
    </xf>
    <xf numFmtId="0" fontId="0" fillId="0" borderId="0" xfId="288" applyFont="1" applyAlignment="1">
      <alignment horizontal="left"/>
      <protection/>
    </xf>
    <xf numFmtId="0" fontId="0" fillId="0" borderId="0" xfId="288" applyFont="1" applyBorder="1" applyAlignment="1">
      <alignment/>
      <protection/>
    </xf>
    <xf numFmtId="0" fontId="19" fillId="0" borderId="0" xfId="288" applyFont="1" applyAlignment="1">
      <alignment horizontal="center" wrapText="1"/>
      <protection/>
    </xf>
    <xf numFmtId="0" fontId="18" fillId="0" borderId="0" xfId="288" applyFont="1" applyBorder="1" applyAlignment="1">
      <alignment horizontal="center"/>
      <protection/>
    </xf>
    <xf numFmtId="0" fontId="19" fillId="0" borderId="0" xfId="288" applyFont="1" applyAlignment="1">
      <alignment horizontal="center"/>
      <protection/>
    </xf>
    <xf numFmtId="0" fontId="39" fillId="0" borderId="0" xfId="288" applyFont="1" applyAlignment="1">
      <alignment horizontal="center"/>
      <protection/>
    </xf>
    <xf numFmtId="0" fontId="74" fillId="3" borderId="26" xfId="288" applyFont="1" applyFill="1" applyBorder="1" applyAlignment="1">
      <alignment horizontal="center" vertical="center" wrapText="1"/>
      <protection/>
    </xf>
    <xf numFmtId="0" fontId="74" fillId="3" borderId="25" xfId="288" applyFont="1" applyFill="1" applyBorder="1" applyAlignment="1">
      <alignment horizontal="center" vertical="center" wrapText="1"/>
      <protection/>
    </xf>
    <xf numFmtId="0" fontId="11" fillId="0" borderId="25" xfId="288" applyFont="1" applyBorder="1" applyAlignment="1">
      <alignment horizontal="center" vertical="center" wrapText="1"/>
      <protection/>
    </xf>
    <xf numFmtId="0" fontId="11" fillId="0" borderId="20" xfId="288" applyFont="1" applyBorder="1" applyAlignment="1">
      <alignment horizontal="center" vertical="center"/>
      <protection/>
    </xf>
    <xf numFmtId="0" fontId="37" fillId="0" borderId="0" xfId="288" applyNumberFormat="1" applyFont="1" applyBorder="1" applyAlignment="1">
      <alignment horizontal="center"/>
      <protection/>
    </xf>
    <xf numFmtId="0" fontId="37" fillId="0" borderId="0" xfId="288" applyFont="1" applyBorder="1" applyAlignment="1">
      <alignment horizontal="center" wrapText="1"/>
      <protection/>
    </xf>
    <xf numFmtId="0" fontId="30" fillId="0" borderId="0" xfId="288" applyFont="1" applyBorder="1" applyAlignment="1">
      <alignment horizontal="center" wrapText="1"/>
      <protection/>
    </xf>
    <xf numFmtId="0" fontId="30" fillId="0" borderId="0" xfId="288" applyNumberFormat="1" applyFont="1" applyBorder="1" applyAlignment="1">
      <alignment horizontal="center"/>
      <protection/>
    </xf>
    <xf numFmtId="0" fontId="11" fillId="0" borderId="26" xfId="288" applyFont="1" applyBorder="1" applyAlignment="1">
      <alignment horizontal="center" vertical="center" wrapText="1"/>
      <protection/>
    </xf>
    <xf numFmtId="0" fontId="18" fillId="0" borderId="22" xfId="288" applyFont="1" applyBorder="1" applyAlignment="1">
      <alignment horizontal="left"/>
      <protection/>
    </xf>
    <xf numFmtId="0" fontId="11" fillId="0" borderId="26" xfId="288" applyFont="1" applyBorder="1" applyAlignment="1">
      <alignment horizontal="center" vertical="center"/>
      <protection/>
    </xf>
    <xf numFmtId="0" fontId="11" fillId="0" borderId="41" xfId="288" applyFont="1" applyBorder="1" applyAlignment="1">
      <alignment horizontal="center" vertical="center"/>
      <protection/>
    </xf>
    <xf numFmtId="0" fontId="11" fillId="0" borderId="25" xfId="288" applyFont="1" applyBorder="1" applyAlignment="1">
      <alignment horizontal="center" vertical="center"/>
      <protection/>
    </xf>
    <xf numFmtId="0" fontId="73" fillId="3" borderId="26" xfId="288" applyFont="1" applyFill="1" applyBorder="1" applyAlignment="1">
      <alignment horizontal="center" vertical="center" wrapText="1"/>
      <protection/>
    </xf>
    <xf numFmtId="0" fontId="73" fillId="3" borderId="25" xfId="288" applyFont="1" applyFill="1" applyBorder="1" applyAlignment="1">
      <alignment horizontal="center" vertical="center" wrapText="1"/>
      <protection/>
    </xf>
    <xf numFmtId="0" fontId="11" fillId="0" borderId="35" xfId="288" applyFont="1" applyBorder="1" applyAlignment="1">
      <alignment horizontal="center" vertical="center" wrapText="1"/>
      <protection/>
    </xf>
    <xf numFmtId="0" fontId="11" fillId="0" borderId="19" xfId="288" applyFont="1" applyBorder="1" applyAlignment="1">
      <alignment horizontal="center" vertical="center" wrapText="1"/>
      <protection/>
    </xf>
    <xf numFmtId="0" fontId="11" fillId="0" borderId="36" xfId="288" applyFont="1" applyBorder="1" applyAlignment="1">
      <alignment horizontal="center" vertical="center" wrapText="1"/>
      <protection/>
    </xf>
    <xf numFmtId="0" fontId="11" fillId="0" borderId="24" xfId="288" applyFont="1" applyBorder="1" applyAlignment="1">
      <alignment horizontal="center" vertical="center" wrapText="1"/>
      <protection/>
    </xf>
    <xf numFmtId="0" fontId="11" fillId="0" borderId="0" xfId="288" applyFont="1" applyBorder="1" applyAlignment="1">
      <alignment horizontal="center" vertical="center" wrapText="1"/>
      <protection/>
    </xf>
    <xf numFmtId="0" fontId="11" fillId="0" borderId="40" xfId="288" applyFont="1" applyBorder="1" applyAlignment="1">
      <alignment horizontal="center" vertical="center" wrapText="1"/>
      <protection/>
    </xf>
    <xf numFmtId="0" fontId="11" fillId="0" borderId="21" xfId="288" applyFont="1" applyBorder="1" applyAlignment="1">
      <alignment horizontal="center" vertical="center" wrapText="1"/>
      <protection/>
    </xf>
    <xf numFmtId="0" fontId="11" fillId="0" borderId="38" xfId="288" applyFont="1" applyBorder="1" applyAlignment="1">
      <alignment horizontal="center" vertical="center" wrapText="1"/>
      <protection/>
    </xf>
    <xf numFmtId="0" fontId="11" fillId="0" borderId="23" xfId="288" applyFont="1" applyBorder="1" applyAlignment="1">
      <alignment horizontal="center" vertical="center" wrapText="1"/>
      <protection/>
    </xf>
    <xf numFmtId="0" fontId="26" fillId="0" borderId="26" xfId="288" applyFont="1" applyBorder="1" applyAlignment="1">
      <alignment horizontal="center" vertical="center" wrapText="1"/>
      <protection/>
    </xf>
    <xf numFmtId="0" fontId="26" fillId="0" borderId="25" xfId="288" applyFont="1" applyBorder="1" applyAlignment="1">
      <alignment horizontal="center" vertical="center" wrapText="1"/>
      <protection/>
    </xf>
    <xf numFmtId="49" fontId="11" fillId="0" borderId="19" xfId="288" applyNumberFormat="1" applyFont="1" applyFill="1" applyBorder="1" applyAlignment="1">
      <alignment horizontal="center" vertical="center"/>
      <protection/>
    </xf>
    <xf numFmtId="49" fontId="11" fillId="0" borderId="0" xfId="288" applyNumberFormat="1" applyFont="1" applyFill="1" applyBorder="1" applyAlignment="1">
      <alignment horizontal="center" vertical="center"/>
      <protection/>
    </xf>
    <xf numFmtId="49" fontId="11" fillId="0" borderId="22" xfId="288" applyNumberFormat="1" applyFont="1" applyFill="1" applyBorder="1" applyAlignment="1">
      <alignment horizontal="center" vertical="center"/>
      <protection/>
    </xf>
    <xf numFmtId="49" fontId="85" fillId="0" borderId="0" xfId="288" applyNumberFormat="1" applyFont="1" applyAlignment="1">
      <alignment horizontal="center"/>
      <protection/>
    </xf>
    <xf numFmtId="49" fontId="11" fillId="0" borderId="20" xfId="288" applyNumberFormat="1" applyFont="1" applyFill="1" applyBorder="1" applyAlignment="1">
      <alignment horizontal="center" vertical="center"/>
      <protection/>
    </xf>
    <xf numFmtId="49" fontId="83" fillId="3" borderId="26" xfId="288" applyNumberFormat="1" applyFont="1" applyFill="1" applyBorder="1" applyAlignment="1">
      <alignment horizontal="center" vertical="center" wrapText="1"/>
      <protection/>
    </xf>
    <xf numFmtId="49" fontId="83" fillId="3" borderId="25" xfId="288" applyNumberFormat="1" applyFont="1" applyFill="1" applyBorder="1" applyAlignment="1">
      <alignment horizontal="center" vertical="center" wrapText="1"/>
      <protection/>
    </xf>
    <xf numFmtId="49" fontId="81" fillId="3" borderId="26" xfId="288" applyNumberFormat="1" applyFont="1" applyFill="1" applyBorder="1" applyAlignment="1">
      <alignment horizontal="center" vertical="center" wrapText="1"/>
      <protection/>
    </xf>
    <xf numFmtId="49" fontId="81" fillId="3" borderId="25" xfId="288" applyNumberFormat="1" applyFont="1" applyFill="1" applyBorder="1" applyAlignment="1">
      <alignment horizontal="center" vertical="center" wrapText="1"/>
      <protection/>
    </xf>
    <xf numFmtId="49" fontId="7" fillId="0" borderId="0" xfId="288" applyNumberFormat="1" applyFont="1" applyAlignment="1">
      <alignment horizontal="left"/>
      <protection/>
    </xf>
    <xf numFmtId="49" fontId="10" fillId="0" borderId="0" xfId="288" applyNumberFormat="1" applyFont="1" applyBorder="1" applyAlignment="1">
      <alignment horizontal="left" wrapText="1"/>
      <protection/>
    </xf>
    <xf numFmtId="49" fontId="10" fillId="0" borderId="0" xfId="288" applyNumberFormat="1" applyFont="1" applyBorder="1" applyAlignment="1">
      <alignment horizontal="left"/>
      <protection/>
    </xf>
    <xf numFmtId="49" fontId="19" fillId="0" borderId="0" xfId="288" applyNumberFormat="1" applyFont="1" applyAlignment="1">
      <alignment horizontal="center" wrapText="1"/>
      <protection/>
    </xf>
    <xf numFmtId="49" fontId="0" fillId="47" borderId="0" xfId="288" applyNumberFormat="1" applyFont="1" applyFill="1" applyBorder="1" applyAlignment="1">
      <alignment horizontal="left" vertical="top" wrapText="1"/>
      <protection/>
    </xf>
    <xf numFmtId="49" fontId="7" fillId="47" borderId="0" xfId="288" applyNumberFormat="1" applyFont="1" applyFill="1" applyBorder="1" applyAlignment="1">
      <alignment horizontal="left" vertical="top" wrapText="1"/>
      <protection/>
    </xf>
    <xf numFmtId="49" fontId="0" fillId="0" borderId="0" xfId="288" applyNumberFormat="1" applyFont="1" applyAlignment="1">
      <alignment horizontal="justify" vertical="top"/>
      <protection/>
    </xf>
    <xf numFmtId="49" fontId="0" fillId="0" borderId="0" xfId="288" applyNumberFormat="1" applyFont="1" applyBorder="1" applyAlignment="1">
      <alignment horizontal="justify" vertical="top" wrapText="1"/>
      <protection/>
    </xf>
    <xf numFmtId="49" fontId="0" fillId="0" borderId="0" xfId="288" applyNumberFormat="1" applyFont="1" applyBorder="1" applyAlignment="1">
      <alignment horizontal="justify" vertical="top"/>
      <protection/>
    </xf>
    <xf numFmtId="49" fontId="23" fillId="0" borderId="0" xfId="288" applyNumberFormat="1" applyFont="1" applyAlignment="1">
      <alignment horizontal="center" wrapText="1"/>
      <protection/>
    </xf>
    <xf numFmtId="49" fontId="24" fillId="0" borderId="22" xfId="288" applyNumberFormat="1" applyFont="1" applyBorder="1" applyAlignment="1">
      <alignment horizontal="center"/>
      <protection/>
    </xf>
    <xf numFmtId="49" fontId="80" fillId="0" borderId="20" xfId="288" applyNumberFormat="1" applyFont="1" applyBorder="1" applyAlignment="1">
      <alignment horizontal="center" vertical="center" wrapText="1"/>
      <protection/>
    </xf>
    <xf numFmtId="49" fontId="17" fillId="0" borderId="20" xfId="288" applyNumberFormat="1" applyFont="1" applyBorder="1" applyAlignment="1">
      <alignment horizontal="center" vertical="center" wrapText="1"/>
      <protection/>
    </xf>
    <xf numFmtId="49" fontId="12" fillId="0" borderId="0" xfId="288" applyNumberFormat="1" applyFont="1" applyAlignment="1">
      <alignment horizontal="left"/>
      <protection/>
    </xf>
    <xf numFmtId="49" fontId="18" fillId="0" borderId="0" xfId="288" applyNumberFormat="1" applyFont="1" applyBorder="1" applyAlignment="1">
      <alignment horizontal="left"/>
      <protection/>
    </xf>
    <xf numFmtId="49" fontId="12" fillId="0" borderId="26" xfId="288" applyNumberFormat="1" applyFont="1" applyBorder="1" applyAlignment="1">
      <alignment horizontal="center" vertical="center" wrapText="1"/>
      <protection/>
    </xf>
    <xf numFmtId="49" fontId="12" fillId="0" borderId="25" xfId="288" applyNumberFormat="1" applyFont="1" applyBorder="1" applyAlignment="1">
      <alignment horizontal="center" vertical="center" wrapText="1"/>
      <protection/>
    </xf>
    <xf numFmtId="49" fontId="8" fillId="0" borderId="0" xfId="288" applyNumberFormat="1" applyFont="1" applyAlignment="1">
      <alignment/>
      <protection/>
    </xf>
    <xf numFmtId="49" fontId="0" fillId="0" borderId="0" xfId="288" applyNumberFormat="1" applyFont="1" applyBorder="1" applyAlignment="1">
      <alignment horizontal="left"/>
      <protection/>
    </xf>
    <xf numFmtId="49" fontId="24" fillId="0" borderId="26" xfId="288" applyNumberFormat="1" applyFont="1" applyBorder="1" applyAlignment="1">
      <alignment horizontal="center" vertical="center" wrapText="1"/>
      <protection/>
    </xf>
    <xf numFmtId="49" fontId="24" fillId="0" borderId="25" xfId="288" applyNumberFormat="1" applyFont="1" applyBorder="1" applyAlignment="1">
      <alignment horizontal="center" vertical="center" wrapText="1"/>
      <protection/>
    </xf>
    <xf numFmtId="49" fontId="96" fillId="3" borderId="26" xfId="288" applyNumberFormat="1" applyFont="1" applyFill="1" applyBorder="1" applyAlignment="1">
      <alignment horizontal="center" vertical="center" wrapText="1"/>
      <protection/>
    </xf>
    <xf numFmtId="49" fontId="96" fillId="3" borderId="25" xfId="288" applyNumberFormat="1" applyFont="1" applyFill="1" applyBorder="1" applyAlignment="1">
      <alignment horizontal="center" vertical="center" wrapText="1"/>
      <protection/>
    </xf>
    <xf numFmtId="49" fontId="95" fillId="3" borderId="26" xfId="288" applyNumberFormat="1" applyFont="1" applyFill="1" applyBorder="1" applyAlignment="1">
      <alignment horizontal="center" vertical="center" wrapText="1"/>
      <protection/>
    </xf>
    <xf numFmtId="49" fontId="95" fillId="3" borderId="25" xfId="288" applyNumberFormat="1" applyFont="1" applyFill="1" applyBorder="1" applyAlignment="1">
      <alignment horizontal="center" vertical="center" wrapText="1"/>
      <protection/>
    </xf>
    <xf numFmtId="49" fontId="11" fillId="0" borderId="21" xfId="288" applyNumberFormat="1" applyFont="1" applyBorder="1" applyAlignment="1">
      <alignment horizontal="center" vertical="center" wrapText="1"/>
      <protection/>
    </xf>
    <xf numFmtId="49" fontId="11" fillId="0" borderId="23" xfId="288" applyNumberFormat="1" applyFont="1" applyBorder="1" applyAlignment="1">
      <alignment horizontal="center" vertical="center" wrapText="1"/>
      <protection/>
    </xf>
    <xf numFmtId="49" fontId="11" fillId="0" borderId="38" xfId="288" applyNumberFormat="1" applyFont="1" applyBorder="1" applyAlignment="1">
      <alignment horizontal="center" vertical="center" wrapText="1"/>
      <protection/>
    </xf>
    <xf numFmtId="49" fontId="11" fillId="0" borderId="41" xfId="288" applyNumberFormat="1" applyFont="1" applyBorder="1" applyAlignment="1">
      <alignment horizontal="center" vertical="center" wrapText="1"/>
      <protection/>
    </xf>
    <xf numFmtId="49" fontId="24" fillId="0" borderId="0" xfId="288" applyNumberFormat="1" applyFont="1" applyAlignment="1">
      <alignment horizontal="center"/>
      <protection/>
    </xf>
    <xf numFmtId="49" fontId="23" fillId="0" borderId="22" xfId="288" applyNumberFormat="1" applyFont="1" applyBorder="1" applyAlignment="1">
      <alignment horizontal="left"/>
      <protection/>
    </xf>
    <xf numFmtId="49" fontId="37" fillId="0" borderId="0" xfId="288" applyNumberFormat="1" applyFont="1" applyBorder="1" applyAlignment="1">
      <alignment horizontal="left" wrapText="1"/>
      <protection/>
    </xf>
    <xf numFmtId="49" fontId="11" fillId="0" borderId="35" xfId="288" applyNumberFormat="1" applyFont="1" applyFill="1" applyBorder="1" applyAlignment="1">
      <alignment horizontal="center" vertical="center" wrapText="1"/>
      <protection/>
    </xf>
    <xf numFmtId="49" fontId="11" fillId="0" borderId="36" xfId="288" applyNumberFormat="1" applyFont="1" applyFill="1" applyBorder="1" applyAlignment="1">
      <alignment horizontal="center" vertical="center" wrapText="1"/>
      <protection/>
    </xf>
    <xf numFmtId="49" fontId="11" fillId="0" borderId="24" xfId="288" applyNumberFormat="1" applyFont="1" applyFill="1" applyBorder="1" applyAlignment="1">
      <alignment horizontal="center" vertical="center" wrapText="1"/>
      <protection/>
    </xf>
    <xf numFmtId="49" fontId="11" fillId="0" borderId="40" xfId="288" applyNumberFormat="1" applyFont="1" applyFill="1" applyBorder="1" applyAlignment="1">
      <alignment horizontal="center" vertical="center" wrapText="1"/>
      <protection/>
    </xf>
    <xf numFmtId="49" fontId="11" fillId="0" borderId="27" xfId="288" applyNumberFormat="1" applyFont="1" applyFill="1" applyBorder="1" applyAlignment="1">
      <alignment horizontal="center" vertical="center" wrapText="1"/>
      <protection/>
    </xf>
    <xf numFmtId="49" fontId="11" fillId="0" borderId="37" xfId="288" applyNumberFormat="1" applyFont="1" applyFill="1" applyBorder="1" applyAlignment="1">
      <alignment horizontal="center" vertical="center" wrapText="1"/>
      <protection/>
    </xf>
    <xf numFmtId="49" fontId="34" fillId="0" borderId="0" xfId="288" applyNumberFormat="1" applyFont="1" applyAlignment="1">
      <alignment horizontal="center"/>
      <protection/>
    </xf>
    <xf numFmtId="49" fontId="95" fillId="3" borderId="26" xfId="288" applyNumberFormat="1" applyFont="1" applyFill="1" applyBorder="1" applyAlignment="1">
      <alignment horizontal="center" vertical="center"/>
      <protection/>
    </xf>
    <xf numFmtId="49" fontId="95" fillId="3" borderId="25" xfId="288" applyNumberFormat="1" applyFont="1" applyFill="1" applyBorder="1" applyAlignment="1">
      <alignment horizontal="center" vertical="center"/>
      <protection/>
    </xf>
    <xf numFmtId="49" fontId="18" fillId="0" borderId="22" xfId="288" applyNumberFormat="1" applyFont="1" applyFill="1" applyBorder="1" applyAlignment="1">
      <alignment horizontal="center" vertical="center"/>
      <protection/>
    </xf>
    <xf numFmtId="49" fontId="11" fillId="0" borderId="41" xfId="288" applyNumberFormat="1" applyFont="1" applyFill="1" applyBorder="1" applyAlignment="1">
      <alignment horizontal="center" vertical="center" wrapText="1"/>
      <protection/>
    </xf>
    <xf numFmtId="49" fontId="11" fillId="47" borderId="26" xfId="288" applyNumberFormat="1" applyFont="1" applyFill="1" applyBorder="1" applyAlignment="1">
      <alignment horizontal="center" vertical="center"/>
      <protection/>
    </xf>
    <xf numFmtId="49" fontId="11" fillId="47" borderId="25" xfId="288" applyNumberFormat="1" applyFont="1" applyFill="1" applyBorder="1" applyAlignment="1">
      <alignment horizontal="center" vertical="center"/>
      <protection/>
    </xf>
    <xf numFmtId="49" fontId="0" fillId="0" borderId="0" xfId="288" applyNumberFormat="1" applyFont="1" applyFill="1" applyAlignment="1">
      <alignment horizontal="left"/>
      <protection/>
    </xf>
    <xf numFmtId="49" fontId="23" fillId="0" borderId="0" xfId="288" applyNumberFormat="1" applyFont="1" applyFill="1" applyBorder="1" applyAlignment="1">
      <alignment horizontal="left"/>
      <protection/>
    </xf>
    <xf numFmtId="0" fontId="88" fillId="0" borderId="41" xfId="288" applyFont="1" applyFill="1" applyBorder="1" applyAlignment="1">
      <alignment horizontal="center" vertical="center" wrapText="1"/>
      <protection/>
    </xf>
    <xf numFmtId="0" fontId="88" fillId="0" borderId="25" xfId="288" applyFont="1" applyFill="1" applyBorder="1" applyAlignment="1">
      <alignment horizontal="center" vertical="center" wrapText="1"/>
      <protection/>
    </xf>
    <xf numFmtId="49" fontId="96" fillId="3" borderId="26" xfId="288" applyNumberFormat="1" applyFont="1" applyFill="1" applyBorder="1" applyAlignment="1">
      <alignment horizontal="center" vertical="center"/>
      <protection/>
    </xf>
    <xf numFmtId="49" fontId="96" fillId="3" borderId="25" xfId="288" applyNumberFormat="1" applyFont="1" applyFill="1" applyBorder="1" applyAlignment="1">
      <alignment horizontal="center" vertical="center"/>
      <protection/>
    </xf>
    <xf numFmtId="49" fontId="24" fillId="0" borderId="26" xfId="288" applyNumberFormat="1" applyFont="1" applyFill="1" applyBorder="1" applyAlignment="1">
      <alignment horizontal="center" vertical="center"/>
      <protection/>
    </xf>
    <xf numFmtId="49" fontId="24" fillId="0" borderId="25" xfId="288" applyNumberFormat="1" applyFont="1" applyFill="1" applyBorder="1" applyAlignment="1">
      <alignment horizontal="center" vertical="center"/>
      <protection/>
    </xf>
    <xf numFmtId="0" fontId="19" fillId="0" borderId="0" xfId="288" applyNumberFormat="1" applyFont="1" applyAlignment="1">
      <alignment horizontal="center"/>
      <protection/>
    </xf>
    <xf numFmtId="0" fontId="39" fillId="0" borderId="0" xfId="288" applyNumberFormat="1" applyFont="1" applyAlignment="1">
      <alignment horizontal="center"/>
      <protection/>
    </xf>
    <xf numFmtId="0" fontId="28" fillId="0" borderId="0" xfId="288" applyNumberFormat="1" applyFont="1" applyAlignment="1">
      <alignment horizontal="center"/>
      <protection/>
    </xf>
    <xf numFmtId="0" fontId="12" fillId="0" borderId="20" xfId="288" applyFont="1" applyFill="1" applyBorder="1" applyAlignment="1">
      <alignment horizontal="center" vertical="center" wrapText="1"/>
      <protection/>
    </xf>
    <xf numFmtId="0" fontId="23" fillId="0" borderId="0" xfId="288" applyFont="1" applyBorder="1" applyAlignment="1">
      <alignment horizontal="left"/>
      <protection/>
    </xf>
    <xf numFmtId="0" fontId="18" fillId="0" borderId="0" xfId="288" applyFont="1" applyAlignment="1">
      <alignment horizontal="center"/>
      <protection/>
    </xf>
    <xf numFmtId="49" fontId="37" fillId="0" borderId="0" xfId="288" applyNumberFormat="1" applyFont="1" applyBorder="1" applyAlignment="1">
      <alignment horizontal="justify" vertical="justify" wrapText="1"/>
      <protection/>
    </xf>
    <xf numFmtId="0" fontId="34" fillId="47" borderId="0" xfId="288" applyFont="1" applyFill="1" applyBorder="1" applyAlignment="1">
      <alignment horizontal="center"/>
      <protection/>
    </xf>
    <xf numFmtId="49" fontId="12" fillId="0" borderId="35" xfId="288" applyNumberFormat="1" applyFont="1" applyFill="1" applyBorder="1" applyAlignment="1">
      <alignment horizontal="center" vertical="center"/>
      <protection/>
    </xf>
    <xf numFmtId="49" fontId="12" fillId="0" borderId="36" xfId="288" applyNumberFormat="1" applyFont="1" applyFill="1" applyBorder="1" applyAlignment="1">
      <alignment horizontal="center" vertical="center"/>
      <protection/>
    </xf>
    <xf numFmtId="49" fontId="12" fillId="0" borderId="24" xfId="288" applyNumberFormat="1" applyFont="1" applyFill="1" applyBorder="1" applyAlignment="1">
      <alignment horizontal="center" vertical="center"/>
      <protection/>
    </xf>
    <xf numFmtId="49" fontId="12" fillId="0" borderId="40" xfId="288" applyNumberFormat="1" applyFont="1" applyFill="1" applyBorder="1" applyAlignment="1">
      <alignment horizontal="center" vertical="center"/>
      <protection/>
    </xf>
    <xf numFmtId="49" fontId="12" fillId="0" borderId="27" xfId="288" applyNumberFormat="1" applyFont="1" applyFill="1" applyBorder="1" applyAlignment="1">
      <alignment horizontal="center" vertical="center"/>
      <protection/>
    </xf>
    <xf numFmtId="49" fontId="12" fillId="0" borderId="37" xfId="288" applyNumberFormat="1" applyFont="1" applyFill="1" applyBorder="1" applyAlignment="1">
      <alignment horizontal="center" vertical="center"/>
      <protection/>
    </xf>
    <xf numFmtId="0" fontId="30" fillId="0" borderId="0" xfId="288" applyFont="1" applyAlignment="1">
      <alignment horizontal="center"/>
      <protection/>
    </xf>
    <xf numFmtId="49" fontId="30" fillId="47" borderId="42" xfId="0" applyNumberFormat="1" applyFont="1" applyFill="1" applyBorder="1" applyAlignment="1">
      <alignment horizontal="center" vertical="center"/>
    </xf>
    <xf numFmtId="49" fontId="30" fillId="47" borderId="43" xfId="0" applyNumberFormat="1" applyFont="1" applyFill="1" applyBorder="1" applyAlignment="1">
      <alignment horizontal="center" vertical="center"/>
    </xf>
    <xf numFmtId="49" fontId="106" fillId="47" borderId="26" xfId="0" applyNumberFormat="1" applyFont="1" applyFill="1" applyBorder="1" applyAlignment="1">
      <alignment horizontal="left"/>
    </xf>
    <xf numFmtId="49" fontId="106" fillId="47" borderId="41" xfId="0" applyNumberFormat="1" applyFont="1" applyFill="1" applyBorder="1" applyAlignment="1">
      <alignment horizontal="left"/>
    </xf>
    <xf numFmtId="49" fontId="106" fillId="47" borderId="25" xfId="0" applyNumberFormat="1" applyFont="1" applyFill="1" applyBorder="1" applyAlignment="1">
      <alignment horizontal="left"/>
    </xf>
    <xf numFmtId="0" fontId="0" fillId="53"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 fontId="0" fillId="0" borderId="0" xfId="0" applyNumberFormat="1" applyFont="1" applyFill="1" applyAlignment="1">
      <alignment horizontal="left"/>
    </xf>
    <xf numFmtId="2" fontId="19" fillId="0" borderId="0" xfId="0" applyNumberFormat="1" applyFont="1" applyFill="1" applyAlignment="1">
      <alignment horizontal="center"/>
    </xf>
    <xf numFmtId="2" fontId="8" fillId="0" borderId="0" xfId="0" applyNumberFormat="1" applyFont="1" applyFill="1" applyAlignment="1">
      <alignment horizontal="left"/>
    </xf>
    <xf numFmtId="2" fontId="12" fillId="0" borderId="0" xfId="0" applyNumberFormat="1" applyFont="1" applyFill="1" applyAlignment="1">
      <alignment horizontal="left"/>
    </xf>
    <xf numFmtId="2" fontId="8" fillId="0" borderId="22" xfId="0" applyNumberFormat="1" applyFont="1" applyFill="1" applyBorder="1" applyAlignment="1">
      <alignment horizontal="center"/>
    </xf>
    <xf numFmtId="2" fontId="8" fillId="0" borderId="38" xfId="0" applyNumberFormat="1" applyFont="1" applyFill="1" applyBorder="1" applyAlignment="1">
      <alignment horizontal="center" vertical="center" wrapText="1"/>
    </xf>
    <xf numFmtId="2" fontId="8" fillId="0" borderId="23" xfId="0" applyNumberFormat="1" applyFont="1" applyFill="1" applyBorder="1" applyAlignment="1">
      <alignment horizontal="center" vertical="center" wrapText="1"/>
    </xf>
    <xf numFmtId="2" fontId="39" fillId="0" borderId="0" xfId="0" applyNumberFormat="1" applyFont="1" applyFill="1" applyAlignment="1">
      <alignment horizontal="center"/>
    </xf>
    <xf numFmtId="2" fontId="1" fillId="0" borderId="0" xfId="0" applyNumberFormat="1" applyFont="1" applyFill="1" applyBorder="1" applyAlignment="1">
      <alignment horizontal="center"/>
    </xf>
    <xf numFmtId="2" fontId="8" fillId="0" borderId="26" xfId="0" applyNumberFormat="1" applyFont="1" applyFill="1" applyBorder="1" applyAlignment="1">
      <alignment horizontal="center" vertical="center" wrapText="1"/>
    </xf>
    <xf numFmtId="2" fontId="8" fillId="0" borderId="25" xfId="0" applyNumberFormat="1" applyFont="1" applyFill="1" applyBorder="1" applyAlignment="1">
      <alignment horizontal="center" vertical="center" wrapText="1"/>
    </xf>
    <xf numFmtId="2" fontId="17" fillId="0" borderId="26" xfId="0" applyNumberFormat="1" applyFont="1" applyFill="1" applyBorder="1" applyAlignment="1">
      <alignment horizontal="center" vertical="center"/>
    </xf>
    <xf numFmtId="2" fontId="17" fillId="0" borderId="25" xfId="0" applyNumberFormat="1" applyFont="1" applyFill="1" applyBorder="1" applyAlignment="1">
      <alignment horizontal="center" vertical="center"/>
    </xf>
    <xf numFmtId="2" fontId="8" fillId="0" borderId="21" xfId="0" applyNumberFormat="1" applyFont="1" applyFill="1" applyBorder="1" applyAlignment="1">
      <alignment horizontal="center" vertical="center" wrapText="1"/>
    </xf>
    <xf numFmtId="2" fontId="12" fillId="0" borderId="35" xfId="0" applyNumberFormat="1" applyFont="1" applyFill="1" applyBorder="1" applyAlignment="1">
      <alignment horizontal="center" vertical="center" wrapText="1"/>
    </xf>
    <xf numFmtId="2" fontId="12" fillId="0" borderId="36" xfId="0" applyNumberFormat="1" applyFont="1" applyFill="1" applyBorder="1" applyAlignment="1">
      <alignment horizontal="center" vertical="center" wrapText="1"/>
    </xf>
    <xf numFmtId="2" fontId="12" fillId="0" borderId="24" xfId="0" applyNumberFormat="1" applyFont="1" applyFill="1" applyBorder="1" applyAlignment="1">
      <alignment horizontal="center" vertical="center" wrapText="1"/>
    </xf>
    <xf numFmtId="2" fontId="12" fillId="0" borderId="40" xfId="0" applyNumberFormat="1" applyFont="1" applyFill="1" applyBorder="1" applyAlignment="1">
      <alignment horizontal="center" vertical="center" wrapText="1"/>
    </xf>
    <xf numFmtId="2" fontId="12" fillId="0" borderId="27" xfId="0" applyNumberFormat="1" applyFont="1" applyFill="1" applyBorder="1" applyAlignment="1">
      <alignment horizontal="center" vertical="center" wrapText="1"/>
    </xf>
    <xf numFmtId="2" fontId="12" fillId="0" borderId="37" xfId="0" applyNumberFormat="1" applyFont="1" applyFill="1" applyBorder="1" applyAlignment="1">
      <alignment horizontal="center" vertical="center" wrapText="1"/>
    </xf>
    <xf numFmtId="2" fontId="12" fillId="0" borderId="26" xfId="0" applyNumberFormat="1" applyFont="1" applyFill="1" applyBorder="1" applyAlignment="1">
      <alignment horizontal="center" vertical="center" wrapText="1"/>
    </xf>
    <xf numFmtId="2" fontId="12" fillId="0" borderId="20" xfId="0" applyNumberFormat="1" applyFont="1" applyFill="1" applyBorder="1" applyAlignment="1">
      <alignment horizontal="center" vertical="center" wrapText="1"/>
    </xf>
    <xf numFmtId="2" fontId="12" fillId="0" borderId="41" xfId="0" applyNumberFormat="1" applyFont="1" applyFill="1" applyBorder="1" applyAlignment="1">
      <alignment horizontal="center" vertical="center" wrapText="1"/>
    </xf>
    <xf numFmtId="2" fontId="12" fillId="0" borderId="25" xfId="0" applyNumberFormat="1" applyFont="1" applyFill="1" applyBorder="1" applyAlignment="1">
      <alignment horizontal="center" vertical="center" wrapText="1"/>
    </xf>
    <xf numFmtId="0" fontId="8" fillId="0" borderId="38" xfId="0" applyFont="1" applyFill="1" applyBorder="1" applyAlignment="1">
      <alignment horizontal="center" vertical="center"/>
    </xf>
    <xf numFmtId="0" fontId="8" fillId="0" borderId="23" xfId="0" applyFont="1" applyFill="1" applyBorder="1" applyAlignment="1">
      <alignment horizontal="center" vertical="center"/>
    </xf>
    <xf numFmtId="2" fontId="8" fillId="0" borderId="27" xfId="0" applyNumberFormat="1" applyFont="1" applyFill="1" applyBorder="1" applyAlignment="1">
      <alignment horizontal="center" vertical="center" wrapText="1"/>
    </xf>
    <xf numFmtId="2" fontId="8" fillId="0" borderId="22" xfId="0" applyNumberFormat="1" applyFont="1" applyFill="1" applyBorder="1" applyAlignment="1">
      <alignment horizontal="center" vertical="center" wrapText="1"/>
    </xf>
    <xf numFmtId="2" fontId="8" fillId="0" borderId="37" xfId="0" applyNumberFormat="1" applyFont="1" applyFill="1" applyBorder="1" applyAlignment="1">
      <alignment horizontal="center" vertical="center" wrapText="1"/>
    </xf>
    <xf numFmtId="49" fontId="7" fillId="0" borderId="26" xfId="0" applyNumberFormat="1" applyFont="1" applyBorder="1" applyAlignment="1">
      <alignment horizontal="center"/>
    </xf>
    <xf numFmtId="49" fontId="7" fillId="0" borderId="25" xfId="0" applyNumberFormat="1" applyFont="1" applyBorder="1" applyAlignment="1">
      <alignment horizontal="center"/>
    </xf>
    <xf numFmtId="49" fontId="19" fillId="0" borderId="0" xfId="0" applyNumberFormat="1" applyFont="1" applyAlignment="1">
      <alignment horizontal="center" wrapText="1"/>
    </xf>
    <xf numFmtId="49" fontId="19" fillId="0" borderId="0" xfId="0" applyNumberFormat="1" applyFont="1" applyAlignment="1">
      <alignment horizontal="center"/>
    </xf>
    <xf numFmtId="49" fontId="30" fillId="0" borderId="26" xfId="0" applyNumberFormat="1" applyFont="1" applyBorder="1" applyAlignment="1">
      <alignment horizontal="center"/>
    </xf>
    <xf numFmtId="49" fontId="30" fillId="0" borderId="25" xfId="0" applyNumberFormat="1" applyFont="1" applyBorder="1" applyAlignment="1">
      <alignment horizontal="center"/>
    </xf>
    <xf numFmtId="49" fontId="19" fillId="0" borderId="20" xfId="0" applyNumberFormat="1" applyFont="1" applyBorder="1" applyAlignment="1">
      <alignment horizontal="center" wrapText="1"/>
    </xf>
    <xf numFmtId="49" fontId="19" fillId="0" borderId="20" xfId="0" applyNumberFormat="1" applyFont="1" applyBorder="1" applyAlignment="1">
      <alignment horizontal="center"/>
    </xf>
    <xf numFmtId="49" fontId="30" fillId="0" borderId="20" xfId="0" applyNumberFormat="1" applyFont="1" applyBorder="1" applyAlignment="1">
      <alignment horizontal="center"/>
    </xf>
    <xf numFmtId="49" fontId="7" fillId="0" borderId="20" xfId="0" applyNumberFormat="1" applyFont="1" applyBorder="1" applyAlignment="1">
      <alignment horizontal="center"/>
    </xf>
    <xf numFmtId="2" fontId="17" fillId="0" borderId="20" xfId="0" applyNumberFormat="1" applyFont="1" applyFill="1" applyBorder="1" applyAlignment="1">
      <alignment horizontal="center" vertical="center"/>
    </xf>
    <xf numFmtId="2" fontId="8" fillId="0" borderId="20" xfId="0" applyNumberFormat="1" applyFont="1" applyFill="1" applyBorder="1" applyAlignment="1">
      <alignment horizontal="center" vertical="center" wrapText="1"/>
    </xf>
    <xf numFmtId="0" fontId="8" fillId="0" borderId="20" xfId="0" applyFont="1" applyFill="1" applyBorder="1" applyAlignment="1">
      <alignment horizontal="center" vertical="center"/>
    </xf>
    <xf numFmtId="0" fontId="30" fillId="0" borderId="0" xfId="0" applyNumberFormat="1" applyFont="1" applyFill="1" applyAlignment="1">
      <alignment horizontal="center"/>
    </xf>
    <xf numFmtId="0" fontId="30" fillId="0" borderId="0" xfId="0" applyNumberFormat="1" applyFont="1" applyFill="1" applyBorder="1" applyAlignment="1">
      <alignment horizontal="center"/>
    </xf>
    <xf numFmtId="49" fontId="19" fillId="0" borderId="0" xfId="0" applyNumberFormat="1" applyFont="1" applyFill="1" applyAlignment="1">
      <alignment horizontal="center" wrapText="1"/>
    </xf>
    <xf numFmtId="49" fontId="19" fillId="0" borderId="0" xfId="0" applyNumberFormat="1" applyFont="1" applyFill="1" applyAlignment="1">
      <alignment horizontal="center"/>
    </xf>
    <xf numFmtId="49" fontId="30" fillId="0" borderId="26" xfId="0" applyNumberFormat="1" applyFont="1" applyFill="1" applyBorder="1" applyAlignment="1">
      <alignment horizontal="center" vertical="center"/>
    </xf>
    <xf numFmtId="49" fontId="30" fillId="0" borderId="25"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xf numFmtId="49" fontId="7" fillId="0" borderId="25" xfId="0" applyNumberFormat="1" applyFont="1" applyFill="1" applyBorder="1" applyAlignment="1">
      <alignment horizontal="center" vertical="center"/>
    </xf>
    <xf numFmtId="0" fontId="37" fillId="0" borderId="19" xfId="0" applyNumberFormat="1" applyFont="1" applyFill="1" applyBorder="1" applyAlignment="1">
      <alignment horizontal="center"/>
    </xf>
    <xf numFmtId="2" fontId="0" fillId="0" borderId="0" xfId="0" applyNumberFormat="1" applyFont="1" applyFill="1" applyBorder="1" applyAlignment="1">
      <alignment horizontal="left"/>
    </xf>
    <xf numFmtId="2" fontId="0" fillId="0" borderId="0" xfId="0" applyNumberFormat="1" applyFont="1" applyFill="1" applyAlignment="1">
      <alignment horizontal="left"/>
    </xf>
    <xf numFmtId="2" fontId="11" fillId="0" borderId="26" xfId="0" applyNumberFormat="1" applyFont="1" applyFill="1" applyBorder="1" applyAlignment="1">
      <alignment horizontal="center"/>
    </xf>
    <xf numFmtId="2" fontId="11" fillId="0" borderId="25" xfId="0" applyNumberFormat="1" applyFont="1" applyFill="1" applyBorder="1" applyAlignment="1">
      <alignment horizontal="center"/>
    </xf>
    <xf numFmtId="0" fontId="37" fillId="0" borderId="19" xfId="0" applyNumberFormat="1" applyFont="1" applyFill="1" applyBorder="1" applyAlignment="1">
      <alignment horizontal="center" wrapText="1"/>
    </xf>
    <xf numFmtId="49" fontId="30" fillId="0" borderId="26" xfId="0" applyNumberFormat="1" applyFont="1" applyFill="1" applyBorder="1" applyAlignment="1">
      <alignment horizontal="center"/>
    </xf>
    <xf numFmtId="49" fontId="30" fillId="0" borderId="25" xfId="0" applyNumberFormat="1" applyFont="1" applyFill="1" applyBorder="1" applyAlignment="1">
      <alignment horizontal="center"/>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2" fontId="0" fillId="0" borderId="0" xfId="0" applyNumberFormat="1" applyFont="1" applyFill="1" applyBorder="1" applyAlignment="1">
      <alignment horizontal="center"/>
    </xf>
    <xf numFmtId="0" fontId="37" fillId="0" borderId="0" xfId="0" applyNumberFormat="1" applyFont="1" applyFill="1" applyBorder="1" applyAlignment="1">
      <alignment horizontal="center"/>
    </xf>
    <xf numFmtId="0" fontId="39" fillId="0" borderId="0" xfId="0" applyNumberFormat="1" applyFont="1" applyFill="1" applyAlignment="1">
      <alignment horizontal="center" wrapText="1"/>
    </xf>
    <xf numFmtId="0" fontId="8" fillId="0" borderId="0" xfId="0" applyNumberFormat="1" applyFont="1" applyFill="1" applyAlignment="1">
      <alignment horizontal="left"/>
    </xf>
    <xf numFmtId="0" fontId="7" fillId="0" borderId="20" xfId="0" applyFont="1" applyFill="1" applyBorder="1" applyAlignment="1">
      <alignment horizontal="center"/>
    </xf>
    <xf numFmtId="0" fontId="34" fillId="0" borderId="0" xfId="0" applyNumberFormat="1" applyFont="1" applyFill="1" applyAlignment="1">
      <alignment horizontal="center" wrapText="1"/>
    </xf>
    <xf numFmtId="0" fontId="12" fillId="0" borderId="20" xfId="0" applyNumberFormat="1" applyFont="1" applyFill="1" applyBorder="1" applyAlignment="1">
      <alignment horizontal="center" vertical="center" wrapText="1"/>
    </xf>
    <xf numFmtId="0" fontId="12" fillId="0" borderId="20" xfId="0" applyNumberFormat="1" applyFont="1" applyFill="1" applyBorder="1" applyAlignment="1">
      <alignment horizontal="center" vertical="center" wrapText="1"/>
    </xf>
    <xf numFmtId="0" fontId="31" fillId="0" borderId="27" xfId="0" applyNumberFormat="1" applyFont="1" applyFill="1" applyBorder="1" applyAlignment="1">
      <alignment horizontal="center" vertical="center" wrapText="1"/>
    </xf>
    <xf numFmtId="0" fontId="31" fillId="0" borderId="37" xfId="0" applyNumberFormat="1" applyFont="1" applyFill="1" applyBorder="1" applyAlignment="1">
      <alignment horizontal="center" vertical="center" wrapText="1"/>
    </xf>
    <xf numFmtId="0" fontId="12" fillId="0" borderId="27" xfId="0" applyNumberFormat="1" applyFont="1" applyFill="1" applyBorder="1" applyAlignment="1">
      <alignment horizontal="center" vertical="center" wrapText="1"/>
    </xf>
    <xf numFmtId="0" fontId="12" fillId="0" borderId="37" xfId="0" applyNumberFormat="1" applyFont="1" applyFill="1" applyBorder="1" applyAlignment="1">
      <alignment horizontal="center" vertical="center" wrapText="1"/>
    </xf>
    <xf numFmtId="49" fontId="17" fillId="0" borderId="20" xfId="0" applyNumberFormat="1" applyFont="1" applyFill="1" applyBorder="1" applyAlignment="1">
      <alignment horizontal="center" vertical="center" wrapText="1"/>
    </xf>
    <xf numFmtId="2" fontId="11" fillId="0" borderId="20" xfId="0" applyNumberFormat="1" applyFont="1" applyFill="1" applyBorder="1" applyAlignment="1">
      <alignment horizontal="center" vertical="center" wrapText="1"/>
    </xf>
    <xf numFmtId="0" fontId="34" fillId="0" borderId="0" xfId="0" applyNumberFormat="1" applyFont="1" applyFill="1" applyAlignment="1">
      <alignment horizontal="center"/>
    </xf>
    <xf numFmtId="0" fontId="37" fillId="0" borderId="19" xfId="0" applyFont="1" applyFill="1" applyBorder="1" applyAlignment="1">
      <alignment horizontal="center" wrapText="1"/>
    </xf>
    <xf numFmtId="0" fontId="12" fillId="0" borderId="20"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21" xfId="0" applyNumberFormat="1"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2" fillId="0" borderId="38"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0" fontId="12" fillId="0" borderId="26" xfId="0" applyNumberFormat="1" applyFont="1" applyFill="1" applyBorder="1" applyAlignment="1">
      <alignment horizontal="center" vertical="center" wrapText="1"/>
    </xf>
    <xf numFmtId="0" fontId="12" fillId="0" borderId="41" xfId="0" applyNumberFormat="1" applyFont="1" applyFill="1" applyBorder="1" applyAlignment="1">
      <alignment horizontal="center" vertical="center" wrapText="1"/>
    </xf>
    <xf numFmtId="0" fontId="12" fillId="0" borderId="25" xfId="0" applyNumberFormat="1" applyFont="1" applyFill="1" applyBorder="1" applyAlignment="1">
      <alignment horizontal="center" vertical="center" wrapText="1"/>
    </xf>
    <xf numFmtId="0" fontId="30" fillId="0" borderId="0" xfId="0" applyNumberFormat="1" applyFont="1" applyFill="1" applyBorder="1" applyAlignment="1">
      <alignment horizontal="center" wrapText="1"/>
    </xf>
    <xf numFmtId="0" fontId="19" fillId="0" borderId="0" xfId="0" applyNumberFormat="1" applyFont="1" applyFill="1" applyAlignment="1">
      <alignment horizontal="center"/>
    </xf>
    <xf numFmtId="0" fontId="12" fillId="0" borderId="0" xfId="0" applyFont="1" applyFill="1" applyAlignment="1">
      <alignment horizontal="left"/>
    </xf>
    <xf numFmtId="0" fontId="8" fillId="0" borderId="0" xfId="0" applyNumberFormat="1" applyFont="1" applyFill="1" applyBorder="1" applyAlignment="1">
      <alignment horizontal="left" wrapText="1"/>
    </xf>
    <xf numFmtId="0" fontId="109" fillId="0" borderId="22" xfId="0" applyFont="1" applyFill="1" applyBorder="1" applyAlignment="1">
      <alignment horizontal="center"/>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8" fillId="0" borderId="0" xfId="0" applyNumberFormat="1" applyFont="1" applyFill="1" applyBorder="1" applyAlignment="1">
      <alignment horizontal="center"/>
    </xf>
    <xf numFmtId="0" fontId="7" fillId="0" borderId="0" xfId="0" applyFont="1" applyFill="1" applyAlignment="1">
      <alignment horizontal="center"/>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0" fillId="0" borderId="0" xfId="0" applyNumberFormat="1" applyFont="1" applyFill="1" applyAlignment="1">
      <alignment horizontal="left"/>
    </xf>
    <xf numFmtId="0" fontId="20" fillId="0" borderId="0" xfId="0" applyNumberFormat="1" applyFont="1" applyFill="1" applyAlignment="1">
      <alignment horizontal="center" wrapText="1"/>
    </xf>
    <xf numFmtId="0" fontId="7" fillId="0" borderId="0" xfId="0" applyFont="1" applyFill="1" applyAlignment="1">
      <alignment horizontal="left"/>
    </xf>
    <xf numFmtId="0" fontId="8" fillId="0" borderId="3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30" fillId="0" borderId="0" xfId="0" applyFont="1" applyFill="1" applyAlignment="1">
      <alignment horizontal="center"/>
    </xf>
    <xf numFmtId="0" fontId="30" fillId="0" borderId="0" xfId="0" applyFont="1" applyFill="1" applyBorder="1" applyAlignment="1">
      <alignment horizontal="center" wrapText="1"/>
    </xf>
    <xf numFmtId="0" fontId="8" fillId="0" borderId="38"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41"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6" fillId="0" borderId="0" xfId="0" applyFont="1" applyFill="1" applyBorder="1" applyAlignment="1">
      <alignment horizontal="center"/>
    </xf>
    <xf numFmtId="49" fontId="18" fillId="52" borderId="44" xfId="0" applyNumberFormat="1" applyFont="1" applyFill="1" applyBorder="1" applyAlignment="1" applyProtection="1">
      <alignment horizontal="center" vertical="center" wrapText="1"/>
      <protection/>
    </xf>
    <xf numFmtId="49" fontId="18" fillId="52" borderId="25" xfId="0" applyNumberFormat="1" applyFont="1" applyFill="1" applyBorder="1" applyAlignment="1" applyProtection="1">
      <alignment horizontal="center" vertical="center" wrapText="1"/>
      <protection/>
    </xf>
    <xf numFmtId="0" fontId="34" fillId="52" borderId="0" xfId="0" applyNumberFormat="1" applyFont="1" applyFill="1" applyBorder="1" applyAlignment="1">
      <alignment horizontal="center" wrapText="1"/>
    </xf>
    <xf numFmtId="49" fontId="0" fillId="51" borderId="26" xfId="0" applyNumberFormat="1" applyFont="1" applyFill="1" applyBorder="1" applyAlignment="1" applyProtection="1">
      <alignment horizontal="center" vertical="center" wrapText="1"/>
      <protection/>
    </xf>
    <xf numFmtId="49" fontId="0" fillId="51" borderId="25" xfId="0" applyNumberFormat="1" applyFont="1" applyFill="1" applyBorder="1" applyAlignment="1" applyProtection="1">
      <alignment horizontal="center" vertical="center" wrapText="1"/>
      <protection/>
    </xf>
    <xf numFmtId="0" fontId="34" fillId="52" borderId="0" xfId="0" applyNumberFormat="1" applyFont="1" applyFill="1" applyBorder="1" applyAlignment="1">
      <alignment horizontal="center" vertical="center"/>
    </xf>
    <xf numFmtId="0" fontId="37" fillId="52" borderId="0" xfId="0" applyNumberFormat="1" applyFont="1" applyFill="1" applyBorder="1" applyAlignment="1">
      <alignment horizontal="center" wrapText="1"/>
    </xf>
    <xf numFmtId="0" fontId="34" fillId="0" borderId="0" xfId="0" applyNumberFormat="1" applyFont="1" applyFill="1" applyAlignment="1">
      <alignment horizontal="left"/>
    </xf>
    <xf numFmtId="49" fontId="8" fillId="52" borderId="0" xfId="0" applyNumberFormat="1" applyFont="1" applyFill="1" applyBorder="1" applyAlignment="1">
      <alignment horizontal="left" wrapText="1"/>
    </xf>
    <xf numFmtId="0" fontId="8" fillId="52" borderId="35" xfId="0" applyNumberFormat="1" applyFont="1" applyFill="1" applyBorder="1" applyAlignment="1">
      <alignment horizontal="center" vertical="center" wrapText="1"/>
    </xf>
    <xf numFmtId="0" fontId="8" fillId="52" borderId="36" xfId="0" applyNumberFormat="1" applyFont="1" applyFill="1" applyBorder="1" applyAlignment="1">
      <alignment horizontal="center" vertical="center" wrapText="1"/>
    </xf>
    <xf numFmtId="0" fontId="8" fillId="52" borderId="24" xfId="0" applyNumberFormat="1" applyFont="1" applyFill="1" applyBorder="1" applyAlignment="1">
      <alignment horizontal="center" vertical="center" wrapText="1"/>
    </xf>
    <xf numFmtId="0" fontId="8" fillId="52" borderId="40" xfId="0" applyNumberFormat="1" applyFont="1" applyFill="1" applyBorder="1" applyAlignment="1">
      <alignment horizontal="center" vertical="center" wrapText="1"/>
    </xf>
    <xf numFmtId="0" fontId="8" fillId="52" borderId="27" xfId="0" applyNumberFormat="1" applyFont="1" applyFill="1" applyBorder="1" applyAlignment="1">
      <alignment horizontal="center" vertical="center" wrapText="1"/>
    </xf>
    <xf numFmtId="0" fontId="8" fillId="52" borderId="37" xfId="0" applyNumberFormat="1" applyFont="1" applyFill="1" applyBorder="1" applyAlignment="1">
      <alignment horizontal="center" vertical="center" wrapText="1"/>
    </xf>
    <xf numFmtId="49" fontId="38" fillId="52" borderId="20" xfId="0" applyNumberFormat="1" applyFont="1" applyFill="1" applyBorder="1" applyAlignment="1">
      <alignment horizontal="center" vertical="center" wrapText="1"/>
    </xf>
    <xf numFmtId="49" fontId="8" fillId="52" borderId="20" xfId="0" applyNumberFormat="1" applyFont="1" applyFill="1" applyBorder="1" applyAlignment="1" applyProtection="1">
      <alignment horizontal="center" vertical="center" wrapText="1"/>
      <protection/>
    </xf>
    <xf numFmtId="49" fontId="38" fillId="52" borderId="20" xfId="0" applyNumberFormat="1" applyFont="1" applyFill="1" applyBorder="1" applyAlignment="1" applyProtection="1">
      <alignment horizontal="center" vertical="center" wrapText="1"/>
      <protection/>
    </xf>
    <xf numFmtId="49" fontId="20" fillId="52" borderId="0" xfId="0" applyNumberFormat="1" applyFont="1" applyFill="1" applyAlignment="1">
      <alignment horizontal="center"/>
    </xf>
    <xf numFmtId="49" fontId="20" fillId="52" borderId="0" xfId="0" applyNumberFormat="1" applyFont="1" applyFill="1" applyAlignment="1">
      <alignment horizontal="center" wrapText="1"/>
    </xf>
    <xf numFmtId="0" fontId="28" fillId="52" borderId="0" xfId="0" applyNumberFormat="1" applyFont="1" applyFill="1" applyAlignment="1">
      <alignment horizontal="center"/>
    </xf>
    <xf numFmtId="49" fontId="8" fillId="52" borderId="20" xfId="0" applyNumberFormat="1" applyFont="1" applyFill="1" applyBorder="1" applyAlignment="1">
      <alignment horizontal="center" vertical="center" wrapText="1"/>
    </xf>
    <xf numFmtId="1" fontId="8" fillId="52" borderId="20" xfId="0" applyNumberFormat="1" applyFont="1" applyFill="1" applyBorder="1" applyAlignment="1">
      <alignment horizontal="center" vertical="center"/>
    </xf>
    <xf numFmtId="49" fontId="8" fillId="52" borderId="0" xfId="0" applyNumberFormat="1" applyFont="1" applyFill="1" applyAlignment="1">
      <alignment horizontal="left"/>
    </xf>
    <xf numFmtId="0" fontId="8" fillId="52" borderId="0" xfId="0" applyNumberFormat="1" applyFont="1" applyFill="1" applyBorder="1" applyAlignment="1">
      <alignment horizontal="left" wrapText="1"/>
    </xf>
    <xf numFmtId="210" fontId="20" fillId="52" borderId="0" xfId="0" applyNumberFormat="1" applyFont="1" applyFill="1" applyAlignment="1">
      <alignment horizontal="center"/>
    </xf>
    <xf numFmtId="210" fontId="20" fillId="52" borderId="0" xfId="0" applyNumberFormat="1" applyFont="1" applyFill="1" applyAlignment="1">
      <alignment horizontal="center" wrapText="1"/>
    </xf>
    <xf numFmtId="210" fontId="28" fillId="52" borderId="0" xfId="0" applyNumberFormat="1" applyFont="1" applyFill="1" applyAlignment="1">
      <alignment horizontal="center"/>
    </xf>
    <xf numFmtId="210" fontId="8" fillId="52" borderId="45" xfId="0" applyNumberFormat="1" applyFont="1" applyFill="1" applyBorder="1" applyAlignment="1">
      <alignment horizontal="center" vertical="center" wrapText="1"/>
    </xf>
    <xf numFmtId="210" fontId="8" fillId="52" borderId="20" xfId="0" applyNumberFormat="1" applyFont="1" applyFill="1" applyBorder="1" applyAlignment="1">
      <alignment horizontal="center" vertical="center" wrapText="1"/>
    </xf>
    <xf numFmtId="210" fontId="8" fillId="52" borderId="45" xfId="0" applyNumberFormat="1" applyFont="1" applyFill="1" applyBorder="1" applyAlignment="1">
      <alignment horizontal="center" vertical="center"/>
    </xf>
    <xf numFmtId="49" fontId="23" fillId="52" borderId="46" xfId="0" applyNumberFormat="1" applyFont="1" applyFill="1" applyBorder="1" applyAlignment="1">
      <alignment horizontal="left"/>
    </xf>
    <xf numFmtId="210" fontId="8" fillId="52" borderId="20" xfId="0" applyNumberFormat="1" applyFont="1" applyFill="1" applyBorder="1" applyAlignment="1" applyProtection="1">
      <alignment horizontal="center" vertical="center" wrapText="1"/>
      <protection/>
    </xf>
    <xf numFmtId="49" fontId="0" fillId="52" borderId="0" xfId="0" applyNumberFormat="1" applyFont="1" applyFill="1" applyAlignment="1">
      <alignment horizontal="left"/>
    </xf>
    <xf numFmtId="0" fontId="0" fillId="52" borderId="0" xfId="0" applyNumberFormat="1" applyFont="1" applyFill="1" applyBorder="1" applyAlignment="1">
      <alignment horizontal="left" wrapText="1"/>
    </xf>
    <xf numFmtId="49" fontId="0" fillId="52" borderId="0" xfId="0" applyNumberFormat="1" applyFont="1" applyFill="1" applyBorder="1" applyAlignment="1">
      <alignment horizontal="left" wrapText="1"/>
    </xf>
    <xf numFmtId="210" fontId="38" fillId="52" borderId="20" xfId="0" applyNumberFormat="1" applyFont="1" applyFill="1" applyBorder="1" applyAlignment="1">
      <alignment horizontal="center" vertical="center" wrapText="1"/>
    </xf>
    <xf numFmtId="0" fontId="30" fillId="0" borderId="0" xfId="0" applyNumberFormat="1" applyFont="1" applyFill="1" applyAlignment="1">
      <alignment horizontal="center" wrapText="1"/>
    </xf>
    <xf numFmtId="0" fontId="30" fillId="52" borderId="0" xfId="0" applyNumberFormat="1" applyFont="1" applyFill="1" applyBorder="1" applyAlignment="1">
      <alignment horizontal="center" vertical="center"/>
    </xf>
    <xf numFmtId="4" fontId="8" fillId="52" borderId="47" xfId="0" applyNumberFormat="1" applyFont="1" applyFill="1" applyBorder="1" applyAlignment="1" applyProtection="1">
      <alignment horizontal="center" vertical="center" wrapText="1"/>
      <protection/>
    </xf>
    <xf numFmtId="4" fontId="8" fillId="52" borderId="39" xfId="0" applyNumberFormat="1" applyFont="1" applyFill="1" applyBorder="1" applyAlignment="1" applyProtection="1">
      <alignment horizontal="center" vertical="center" wrapText="1"/>
      <protection/>
    </xf>
    <xf numFmtId="210" fontId="38" fillId="52" borderId="45" xfId="0" applyNumberFormat="1" applyFont="1" applyFill="1" applyBorder="1" applyAlignment="1" applyProtection="1">
      <alignment horizontal="center" vertical="center" wrapText="1"/>
      <protection/>
    </xf>
    <xf numFmtId="210" fontId="38" fillId="52" borderId="20" xfId="0" applyNumberFormat="1" applyFont="1" applyFill="1" applyBorder="1" applyAlignment="1" applyProtection="1">
      <alignment horizontal="center" vertical="center" wrapText="1"/>
      <protection/>
    </xf>
    <xf numFmtId="0" fontId="37" fillId="52" borderId="0" xfId="0" applyNumberFormat="1" applyFont="1" applyFill="1" applyBorder="1" applyAlignment="1">
      <alignment horizontal="left" wrapText="1"/>
    </xf>
    <xf numFmtId="49" fontId="13" fillId="51" borderId="26" xfId="0" applyNumberFormat="1" applyFont="1" applyFill="1" applyBorder="1" applyAlignment="1" applyProtection="1">
      <alignment horizontal="center" vertical="center" wrapText="1"/>
      <protection/>
    </xf>
    <xf numFmtId="49" fontId="13" fillId="51" borderId="25" xfId="0" applyNumberFormat="1" applyFont="1" applyFill="1" applyBorder="1" applyAlignment="1" applyProtection="1">
      <alignment horizontal="center" vertical="center" wrapText="1"/>
      <protection/>
    </xf>
    <xf numFmtId="0" fontId="8" fillId="52" borderId="48" xfId="0" applyNumberFormat="1" applyFont="1" applyFill="1" applyBorder="1" applyAlignment="1">
      <alignment horizontal="center" vertical="center" wrapText="1"/>
    </xf>
    <xf numFmtId="0" fontId="8" fillId="52" borderId="45" xfId="0" applyNumberFormat="1" applyFont="1" applyFill="1" applyBorder="1" applyAlignment="1">
      <alignment horizontal="center" vertical="center" wrapText="1"/>
    </xf>
    <xf numFmtId="0" fontId="8" fillId="52" borderId="49" xfId="0" applyNumberFormat="1" applyFont="1" applyFill="1" applyBorder="1" applyAlignment="1">
      <alignment horizontal="center" vertical="center" wrapText="1"/>
    </xf>
    <xf numFmtId="0" fontId="8" fillId="52" borderId="20" xfId="0" applyNumberFormat="1" applyFont="1" applyFill="1" applyBorder="1" applyAlignment="1">
      <alignment horizontal="center" vertical="center" wrapText="1"/>
    </xf>
    <xf numFmtId="210" fontId="8" fillId="52" borderId="45" xfId="0" applyNumberFormat="1" applyFont="1" applyFill="1" applyBorder="1" applyAlignment="1" applyProtection="1">
      <alignment horizontal="center" vertical="center" wrapText="1"/>
      <protection/>
    </xf>
    <xf numFmtId="0" fontId="30" fillId="52" borderId="0" xfId="0" applyNumberFormat="1" applyFont="1" applyFill="1" applyBorder="1" applyAlignment="1">
      <alignment horizontal="center" wrapText="1"/>
    </xf>
    <xf numFmtId="49" fontId="24" fillId="52" borderId="49" xfId="0" applyNumberFormat="1" applyFont="1" applyFill="1" applyBorder="1" applyAlignment="1" applyProtection="1">
      <alignment horizontal="center" vertical="center" wrapText="1"/>
      <protection/>
    </xf>
    <xf numFmtId="49" fontId="24" fillId="52" borderId="20" xfId="0" applyNumberFormat="1" applyFont="1" applyFill="1" applyBorder="1" applyAlignment="1" applyProtection="1">
      <alignment horizontal="center" vertical="center" wrapText="1"/>
      <protection/>
    </xf>
    <xf numFmtId="49" fontId="34" fillId="0" borderId="0" xfId="0" applyNumberFormat="1" applyFont="1" applyFill="1" applyAlignment="1">
      <alignment horizontal="left"/>
    </xf>
    <xf numFmtId="49" fontId="34" fillId="0" borderId="0" xfId="0" applyNumberFormat="1" applyFont="1" applyFill="1" applyBorder="1" applyAlignment="1">
      <alignment horizontal="left"/>
    </xf>
    <xf numFmtId="210" fontId="30" fillId="0" borderId="0" xfId="0" applyNumberFormat="1" applyFont="1" applyFill="1" applyAlignment="1">
      <alignment horizontal="center"/>
    </xf>
    <xf numFmtId="49" fontId="19" fillId="52" borderId="0" xfId="286" applyNumberFormat="1" applyFont="1" applyFill="1" applyAlignment="1">
      <alignment horizontal="center" vertical="center" wrapText="1"/>
      <protection/>
    </xf>
    <xf numFmtId="49" fontId="0" fillId="52" borderId="0" xfId="0" applyNumberFormat="1" applyFont="1" applyFill="1" applyAlignment="1">
      <alignment horizontal="left"/>
    </xf>
    <xf numFmtId="0" fontId="12" fillId="52" borderId="0" xfId="286" applyNumberFormat="1" applyFont="1" applyFill="1" applyBorder="1" applyAlignment="1">
      <alignment horizontal="left" vertical="center" wrapText="1"/>
      <protection/>
    </xf>
    <xf numFmtId="49" fontId="0" fillId="52" borderId="0" xfId="0" applyNumberFormat="1" applyFont="1" applyFill="1" applyAlignment="1">
      <alignment horizontal="left"/>
    </xf>
    <xf numFmtId="0" fontId="39" fillId="52" borderId="0" xfId="286" applyNumberFormat="1" applyFont="1" applyFill="1" applyAlignment="1">
      <alignment horizontal="center"/>
      <protection/>
    </xf>
    <xf numFmtId="49" fontId="10" fillId="52" borderId="26" xfId="286" applyNumberFormat="1" applyFont="1" applyFill="1" applyBorder="1" applyAlignment="1">
      <alignment horizontal="center" vertical="center" wrapText="1"/>
      <protection/>
    </xf>
    <xf numFmtId="49" fontId="10" fillId="52" borderId="41" xfId="286" applyNumberFormat="1" applyFont="1" applyFill="1" applyBorder="1" applyAlignment="1">
      <alignment horizontal="center" vertical="center" wrapText="1"/>
      <protection/>
    </xf>
    <xf numFmtId="49" fontId="10" fillId="52" borderId="25" xfId="286" applyNumberFormat="1" applyFont="1" applyFill="1" applyBorder="1" applyAlignment="1">
      <alignment horizontal="center" vertical="center" wrapText="1"/>
      <protection/>
    </xf>
    <xf numFmtId="49" fontId="8" fillId="52" borderId="0" xfId="286" applyNumberFormat="1" applyFont="1" applyFill="1" applyBorder="1" applyAlignment="1">
      <alignment horizontal="left" vertical="center" wrapText="1"/>
      <protection/>
    </xf>
    <xf numFmtId="49" fontId="23" fillId="52" borderId="22" xfId="286" applyNumberFormat="1" applyFont="1" applyFill="1" applyBorder="1" applyAlignment="1">
      <alignment horizontal="center" vertical="center"/>
      <protection/>
    </xf>
    <xf numFmtId="0" fontId="30" fillId="52" borderId="0" xfId="286" applyNumberFormat="1" applyFont="1" applyFill="1" applyAlignment="1">
      <alignment horizontal="center"/>
      <protection/>
    </xf>
    <xf numFmtId="0" fontId="34" fillId="52" borderId="0" xfId="286" applyNumberFormat="1" applyFont="1" applyFill="1" applyAlignment="1">
      <alignment horizontal="center" wrapText="1"/>
      <protection/>
    </xf>
    <xf numFmtId="0" fontId="10" fillId="52" borderId="35" xfId="286" applyNumberFormat="1" applyFont="1" applyFill="1" applyBorder="1" applyAlignment="1">
      <alignment horizontal="center" vertical="center" wrapText="1"/>
      <protection/>
    </xf>
    <xf numFmtId="0" fontId="10" fillId="52" borderId="36" xfId="286" applyNumberFormat="1" applyFont="1" applyFill="1" applyBorder="1" applyAlignment="1">
      <alignment horizontal="center" vertical="center" wrapText="1"/>
      <protection/>
    </xf>
    <xf numFmtId="0" fontId="10" fillId="52" borderId="24" xfId="286" applyNumberFormat="1" applyFont="1" applyFill="1" applyBorder="1" applyAlignment="1">
      <alignment horizontal="center" vertical="center" wrapText="1"/>
      <protection/>
    </xf>
    <xf numFmtId="0" fontId="10" fillId="52" borderId="40" xfId="286" applyNumberFormat="1" applyFont="1" applyFill="1" applyBorder="1" applyAlignment="1">
      <alignment horizontal="center" vertical="center" wrapText="1"/>
      <protection/>
    </xf>
    <xf numFmtId="49" fontId="10" fillId="52" borderId="20" xfId="286" applyNumberFormat="1" applyFont="1" applyFill="1" applyBorder="1" applyAlignment="1">
      <alignment horizontal="center" vertical="center" wrapText="1"/>
      <protection/>
    </xf>
    <xf numFmtId="49" fontId="12" fillId="52" borderId="0" xfId="286" applyNumberFormat="1" applyFont="1" applyFill="1" applyBorder="1" applyAlignment="1">
      <alignment horizontal="left" vertical="center" wrapText="1"/>
      <protection/>
    </xf>
    <xf numFmtId="0" fontId="37" fillId="52" borderId="0" xfId="286" applyNumberFormat="1" applyFont="1" applyFill="1" applyBorder="1" applyAlignment="1">
      <alignment horizontal="center" wrapText="1"/>
      <protection/>
    </xf>
    <xf numFmtId="0" fontId="30" fillId="52" borderId="0" xfId="286" applyNumberFormat="1" applyFont="1" applyFill="1" applyBorder="1" applyAlignment="1">
      <alignment horizontal="center" wrapText="1"/>
      <protection/>
    </xf>
    <xf numFmtId="49" fontId="32" fillId="52" borderId="25" xfId="286" applyNumberFormat="1" applyFont="1" applyFill="1" applyBorder="1" applyAlignment="1">
      <alignment horizontal="center" vertical="center" wrapText="1"/>
      <protection/>
    </xf>
    <xf numFmtId="0" fontId="21" fillId="52" borderId="20" xfId="286" applyNumberFormat="1" applyFont="1" applyFill="1" applyBorder="1" applyAlignment="1">
      <alignment horizontal="center" vertical="center" wrapText="1"/>
      <protection/>
    </xf>
    <xf numFmtId="49" fontId="7" fillId="52" borderId="26" xfId="0" applyNumberFormat="1" applyFont="1" applyFill="1" applyBorder="1" applyAlignment="1">
      <alignment horizontal="center" vertical="center"/>
    </xf>
    <xf numFmtId="49" fontId="7" fillId="52" borderId="25" xfId="0" applyNumberFormat="1" applyFont="1" applyFill="1" applyBorder="1" applyAlignment="1">
      <alignment horizontal="center" vertical="center"/>
    </xf>
    <xf numFmtId="49" fontId="10" fillId="52" borderId="38" xfId="286" applyNumberFormat="1" applyFont="1" applyFill="1" applyBorder="1" applyAlignment="1">
      <alignment horizontal="center" vertical="center" wrapText="1"/>
      <protection/>
    </xf>
    <xf numFmtId="0" fontId="27" fillId="52" borderId="22" xfId="286" applyNumberFormat="1" applyFont="1" applyFill="1" applyBorder="1" applyAlignment="1">
      <alignment horizontal="center" vertical="center"/>
      <protection/>
    </xf>
    <xf numFmtId="0" fontId="27" fillId="52" borderId="0" xfId="286" applyNumberFormat="1" applyFont="1" applyFill="1" applyBorder="1" applyAlignment="1">
      <alignment horizontal="center" vertical="center"/>
      <protection/>
    </xf>
    <xf numFmtId="49" fontId="10" fillId="52" borderId="41" xfId="286" applyNumberFormat="1" applyFont="1" applyFill="1" applyBorder="1" applyAlignment="1">
      <alignment horizontal="center" vertical="center" wrapText="1"/>
      <protection/>
    </xf>
    <xf numFmtId="49" fontId="10" fillId="52" borderId="25" xfId="286" applyNumberFormat="1" applyFont="1" applyFill="1" applyBorder="1" applyAlignment="1">
      <alignment horizontal="center" vertical="center" wrapText="1"/>
      <protection/>
    </xf>
    <xf numFmtId="49" fontId="10" fillId="52" borderId="20" xfId="286" applyNumberFormat="1" applyFont="1" applyFill="1" applyBorder="1" applyAlignment="1">
      <alignment horizontal="center" vertical="center" wrapText="1"/>
      <protection/>
    </xf>
    <xf numFmtId="49" fontId="10" fillId="52" borderId="22" xfId="286" applyNumberFormat="1" applyFont="1" applyFill="1" applyBorder="1" applyAlignment="1">
      <alignment horizontal="center" vertical="center" wrapText="1"/>
      <protection/>
    </xf>
    <xf numFmtId="49" fontId="0" fillId="52" borderId="0" xfId="286" applyNumberFormat="1" applyFont="1" applyFill="1" applyAlignment="1">
      <alignment horizontal="left"/>
      <protection/>
    </xf>
    <xf numFmtId="49" fontId="7" fillId="52" borderId="0" xfId="286" applyNumberFormat="1" applyFont="1" applyFill="1" applyAlignment="1">
      <alignment horizontal="center" vertical="top" wrapText="1"/>
      <protection/>
    </xf>
    <xf numFmtId="49" fontId="23" fillId="52" borderId="0" xfId="286" applyNumberFormat="1" applyFont="1" applyFill="1" applyBorder="1" applyAlignment="1">
      <alignment horizontal="left"/>
      <protection/>
    </xf>
    <xf numFmtId="49" fontId="7" fillId="52" borderId="0" xfId="286" applyNumberFormat="1" applyFont="1" applyFill="1" applyBorder="1" applyAlignment="1">
      <alignment horizontal="left" wrapText="1"/>
      <protection/>
    </xf>
    <xf numFmtId="49" fontId="0" fillId="52" borderId="0" xfId="286" applyNumberFormat="1" applyFont="1" applyFill="1" applyBorder="1" applyAlignment="1">
      <alignment horizontal="left"/>
      <protection/>
    </xf>
    <xf numFmtId="49" fontId="7" fillId="52" borderId="0" xfId="286" applyNumberFormat="1" applyFont="1" applyFill="1" applyBorder="1" applyAlignment="1">
      <alignment horizontal="left"/>
      <protection/>
    </xf>
    <xf numFmtId="49" fontId="0" fillId="52" borderId="20" xfId="286" applyNumberFormat="1" applyFont="1" applyFill="1" applyBorder="1" applyAlignment="1">
      <alignment horizontal="center"/>
      <protection/>
    </xf>
    <xf numFmtId="0" fontId="7" fillId="52" borderId="0" xfId="286" applyNumberFormat="1" applyFont="1" applyFill="1" applyAlignment="1">
      <alignment horizontal="center"/>
      <protection/>
    </xf>
    <xf numFmtId="0" fontId="10" fillId="52" borderId="35" xfId="286" applyNumberFormat="1" applyFont="1" applyFill="1" applyBorder="1" applyAlignment="1">
      <alignment horizontal="center" vertical="center" wrapText="1"/>
      <protection/>
    </xf>
    <xf numFmtId="0" fontId="10" fillId="52" borderId="36" xfId="286" applyNumberFormat="1" applyFont="1" applyFill="1" applyBorder="1" applyAlignment="1">
      <alignment horizontal="center" vertical="center" wrapText="1"/>
      <protection/>
    </xf>
    <xf numFmtId="0" fontId="10" fillId="52" borderId="24" xfId="286" applyNumberFormat="1" applyFont="1" applyFill="1" applyBorder="1" applyAlignment="1">
      <alignment horizontal="center" vertical="center" wrapText="1"/>
      <protection/>
    </xf>
    <xf numFmtId="0" fontId="10" fillId="52" borderId="40" xfId="286" applyNumberFormat="1" applyFont="1" applyFill="1" applyBorder="1" applyAlignment="1">
      <alignment horizontal="center" vertical="center" wrapText="1"/>
      <protection/>
    </xf>
    <xf numFmtId="49" fontId="10" fillId="52" borderId="26" xfId="286" applyNumberFormat="1" applyFont="1" applyFill="1" applyBorder="1" applyAlignment="1">
      <alignment horizontal="center" vertical="center" wrapText="1"/>
      <protection/>
    </xf>
    <xf numFmtId="0" fontId="7" fillId="52" borderId="0" xfId="286" applyFont="1" applyFill="1" applyAlignment="1">
      <alignment horizontal="center"/>
      <protection/>
    </xf>
    <xf numFmtId="49" fontId="8" fillId="52" borderId="26" xfId="0" applyNumberFormat="1" applyFont="1" applyFill="1" applyBorder="1" applyAlignment="1">
      <alignment horizontal="center"/>
    </xf>
    <xf numFmtId="49" fontId="8" fillId="52" borderId="25" xfId="0" applyNumberFormat="1" applyFont="1" applyFill="1" applyBorder="1" applyAlignment="1">
      <alignment horizontal="center"/>
    </xf>
    <xf numFmtId="49" fontId="23" fillId="52" borderId="0" xfId="286" applyNumberFormat="1" applyFont="1" applyFill="1" applyAlignment="1">
      <alignment horizontal="center"/>
      <protection/>
    </xf>
    <xf numFmtId="49" fontId="27" fillId="52" borderId="0" xfId="286" applyNumberFormat="1" applyFont="1" applyFill="1" applyAlignment="1">
      <alignment horizontal="center"/>
      <protection/>
    </xf>
    <xf numFmtId="49" fontId="26" fillId="52" borderId="26" xfId="286" applyNumberFormat="1" applyFont="1" applyFill="1" applyBorder="1" applyAlignment="1">
      <alignment horizontal="center" vertical="center" wrapText="1"/>
      <protection/>
    </xf>
    <xf numFmtId="49" fontId="26" fillId="52" borderId="25" xfId="286" applyNumberFormat="1" applyFont="1" applyFill="1" applyBorder="1" applyAlignment="1">
      <alignment horizontal="center" vertical="center" wrapText="1"/>
      <protection/>
    </xf>
    <xf numFmtId="0" fontId="19" fillId="52" borderId="0" xfId="286" applyNumberFormat="1" applyFont="1" applyFill="1" applyBorder="1" applyAlignment="1">
      <alignment horizontal="center" vertical="center" wrapText="1"/>
      <protection/>
    </xf>
    <xf numFmtId="49" fontId="0" fillId="52" borderId="0" xfId="286" applyNumberFormat="1" applyFont="1" applyFill="1" applyAlignment="1">
      <alignment horizontal="justify" wrapText="1"/>
      <protection/>
    </xf>
    <xf numFmtId="0" fontId="7" fillId="52" borderId="0" xfId="286" applyNumberFormat="1" applyFont="1" applyFill="1" applyBorder="1" applyAlignment="1">
      <alignment horizontal="left" wrapText="1"/>
      <protection/>
    </xf>
    <xf numFmtId="0" fontId="0" fillId="52" borderId="0" xfId="286" applyNumberFormat="1" applyFont="1" applyFill="1" applyBorder="1" applyAlignment="1">
      <alignment horizontal="left" wrapText="1"/>
      <protection/>
    </xf>
    <xf numFmtId="3" fontId="23" fillId="52" borderId="19" xfId="286" applyNumberFormat="1" applyFont="1" applyFill="1" applyBorder="1" applyAlignment="1">
      <alignment horizontal="center" vertical="center" wrapText="1"/>
      <protection/>
    </xf>
    <xf numFmtId="49" fontId="19" fillId="52" borderId="0" xfId="286" applyNumberFormat="1" applyFont="1" applyFill="1" applyBorder="1" applyAlignment="1">
      <alignment horizontal="center" vertical="center" wrapText="1"/>
      <protection/>
    </xf>
    <xf numFmtId="49" fontId="7" fillId="52" borderId="0" xfId="286" applyNumberFormat="1" applyFont="1" applyFill="1" applyAlignment="1">
      <alignment horizontal="left" wrapText="1"/>
      <protection/>
    </xf>
    <xf numFmtId="49" fontId="23" fillId="52" borderId="22" xfId="286" applyNumberFormat="1" applyFont="1" applyFill="1" applyBorder="1" applyAlignment="1">
      <alignment horizontal="left"/>
      <protection/>
    </xf>
    <xf numFmtId="49" fontId="8" fillId="52" borderId="20" xfId="286" applyNumberFormat="1" applyFont="1" applyFill="1" applyBorder="1" applyAlignment="1">
      <alignment horizontal="center" vertical="center" wrapText="1"/>
      <protection/>
    </xf>
    <xf numFmtId="49" fontId="0" fillId="52" borderId="20" xfId="286" applyNumberFormat="1" applyFont="1" applyFill="1" applyBorder="1" applyAlignment="1">
      <alignment horizontal="center" vertical="center"/>
      <protection/>
    </xf>
    <xf numFmtId="0" fontId="7" fillId="52" borderId="0" xfId="286" applyNumberFormat="1" applyFont="1" applyFill="1" applyAlignment="1">
      <alignment horizontal="left" wrapText="1"/>
      <protection/>
    </xf>
    <xf numFmtId="49" fontId="0" fillId="52" borderId="0" xfId="286" applyNumberFormat="1" applyFont="1" applyFill="1" applyAlignment="1">
      <alignment horizontal="left" wrapText="1"/>
      <protection/>
    </xf>
    <xf numFmtId="49" fontId="19" fillId="52" borderId="0" xfId="286" applyNumberFormat="1" applyFont="1" applyFill="1" applyAlignment="1">
      <alignment horizontal="center" wrapText="1"/>
      <protection/>
    </xf>
    <xf numFmtId="0" fontId="19" fillId="52" borderId="0" xfId="286" applyNumberFormat="1" applyFont="1" applyFill="1" applyAlignment="1">
      <alignment horizontal="center" wrapText="1"/>
      <protection/>
    </xf>
    <xf numFmtId="49" fontId="18" fillId="0" borderId="0" xfId="286" applyNumberFormat="1" applyFont="1" applyFill="1" applyBorder="1" applyAlignment="1">
      <alignment wrapText="1"/>
      <protection/>
    </xf>
    <xf numFmtId="0" fontId="30" fillId="0" borderId="0" xfId="286" applyNumberFormat="1" applyFont="1" applyFill="1" applyAlignment="1">
      <alignment horizontal="center"/>
      <protection/>
    </xf>
    <xf numFmtId="0" fontId="30" fillId="0" borderId="0" xfId="286" applyFont="1" applyFill="1" applyAlignment="1">
      <alignment horizontal="center"/>
      <protection/>
    </xf>
    <xf numFmtId="49" fontId="21" fillId="52" borderId="20" xfId="286" applyNumberFormat="1" applyFont="1" applyFill="1" applyBorder="1" applyAlignment="1">
      <alignment horizontal="center" wrapText="1"/>
      <protection/>
    </xf>
    <xf numFmtId="49" fontId="12" fillId="52" borderId="20" xfId="286" applyNumberFormat="1" applyFont="1" applyFill="1" applyBorder="1" applyAlignment="1">
      <alignment horizontal="center" vertical="center" wrapText="1"/>
      <protection/>
    </xf>
    <xf numFmtId="0" fontId="37" fillId="0" borderId="0" xfId="286" applyNumberFormat="1" applyFont="1" applyFill="1" applyBorder="1" applyAlignment="1">
      <alignment horizontal="center"/>
      <protection/>
    </xf>
    <xf numFmtId="0" fontId="30" fillId="0" borderId="0" xfId="286" applyNumberFormat="1" applyFont="1" applyFill="1" applyBorder="1" applyAlignment="1">
      <alignment horizontal="center"/>
      <protection/>
    </xf>
    <xf numFmtId="49" fontId="30" fillId="0" borderId="0" xfId="286" applyNumberFormat="1" applyFont="1" applyFill="1" applyBorder="1" applyAlignment="1">
      <alignment horizontal="center" wrapText="1"/>
      <protection/>
    </xf>
    <xf numFmtId="49" fontId="18" fillId="0" borderId="0" xfId="286" applyNumberFormat="1" applyFont="1" applyFill="1" applyBorder="1" applyAlignment="1">
      <alignment horizontal="center" wrapText="1"/>
      <protection/>
    </xf>
    <xf numFmtId="49" fontId="29" fillId="52" borderId="20" xfId="289" applyNumberFormat="1" applyFont="1" applyFill="1" applyBorder="1" applyAlignment="1">
      <alignment horizontal="center" vertical="center" wrapText="1" readingOrder="1"/>
      <protection/>
    </xf>
    <xf numFmtId="49" fontId="29" fillId="52" borderId="35" xfId="289" applyNumberFormat="1" applyFont="1" applyFill="1" applyBorder="1" applyAlignment="1">
      <alignment horizontal="center" vertical="center" wrapText="1" readingOrder="1"/>
      <protection/>
    </xf>
    <xf numFmtId="49" fontId="29" fillId="52" borderId="36" xfId="289" applyNumberFormat="1" applyFont="1" applyFill="1" applyBorder="1" applyAlignment="1">
      <alignment horizontal="center" vertical="center" wrapText="1" readingOrder="1"/>
      <protection/>
    </xf>
    <xf numFmtId="49" fontId="29" fillId="52" borderId="24" xfId="289" applyNumberFormat="1" applyFont="1" applyFill="1" applyBorder="1" applyAlignment="1">
      <alignment horizontal="center" vertical="center" wrapText="1" readingOrder="1"/>
      <protection/>
    </xf>
    <xf numFmtId="49" fontId="29" fillId="52" borderId="40" xfId="289" applyNumberFormat="1" applyFont="1" applyFill="1" applyBorder="1" applyAlignment="1">
      <alignment horizontal="center" vertical="center" wrapText="1" readingOrder="1"/>
      <protection/>
    </xf>
    <xf numFmtId="49" fontId="19" fillId="52" borderId="0" xfId="289" applyNumberFormat="1" applyFont="1" applyFill="1" applyAlignment="1">
      <alignment horizontal="center" wrapText="1"/>
      <protection/>
    </xf>
    <xf numFmtId="0" fontId="39" fillId="52" borderId="0" xfId="289" applyNumberFormat="1" applyFont="1" applyFill="1" applyAlignment="1">
      <alignment horizontal="center"/>
      <protection/>
    </xf>
    <xf numFmtId="0" fontId="28" fillId="52" borderId="0" xfId="289" applyNumberFormat="1" applyFont="1" applyFill="1" applyAlignment="1">
      <alignment horizontal="center"/>
      <protection/>
    </xf>
    <xf numFmtId="0" fontId="37" fillId="52" borderId="0" xfId="289" applyNumberFormat="1" applyFont="1" applyFill="1" applyBorder="1" applyAlignment="1">
      <alignment horizontal="center" wrapText="1"/>
      <protection/>
    </xf>
    <xf numFmtId="0" fontId="37" fillId="52" borderId="19" xfId="289" applyNumberFormat="1" applyFont="1" applyFill="1" applyBorder="1" applyAlignment="1">
      <alignment horizontal="center"/>
      <protection/>
    </xf>
    <xf numFmtId="0" fontId="30" fillId="52" borderId="0" xfId="289" applyNumberFormat="1" applyFont="1" applyFill="1" applyBorder="1" applyAlignment="1">
      <alignment horizontal="center" wrapText="1"/>
      <protection/>
    </xf>
    <xf numFmtId="0" fontId="30" fillId="52" borderId="0" xfId="289" applyNumberFormat="1" applyFont="1" applyFill="1" applyBorder="1" applyAlignment="1">
      <alignment horizontal="center"/>
      <protection/>
    </xf>
    <xf numFmtId="49" fontId="17" fillId="52" borderId="26" xfId="0" applyNumberFormat="1" applyFont="1" applyFill="1" applyBorder="1" applyAlignment="1">
      <alignment horizontal="center" wrapText="1"/>
    </xf>
    <xf numFmtId="49" fontId="17" fillId="52" borderId="25" xfId="0" applyNumberFormat="1" applyFont="1" applyFill="1" applyBorder="1" applyAlignment="1">
      <alignment horizontal="center" wrapText="1"/>
    </xf>
    <xf numFmtId="0" fontId="29" fillId="52" borderId="20" xfId="289" applyFont="1" applyFill="1" applyBorder="1" applyAlignment="1">
      <alignment horizontal="center" vertical="center" wrapText="1" readingOrder="1"/>
      <protection/>
    </xf>
    <xf numFmtId="49" fontId="18" fillId="52" borderId="0" xfId="289" applyNumberFormat="1" applyFont="1" applyFill="1" applyBorder="1" applyAlignment="1">
      <alignment horizontal="left" wrapText="1"/>
      <protection/>
    </xf>
    <xf numFmtId="0" fontId="34" fillId="52" borderId="0" xfId="289" applyNumberFormat="1" applyFont="1" applyFill="1" applyAlignment="1">
      <alignment horizontal="center"/>
      <protection/>
    </xf>
    <xf numFmtId="0" fontId="85" fillId="52" borderId="0" xfId="289" applyNumberFormat="1" applyFont="1" applyFill="1" applyAlignment="1">
      <alignment horizontal="center"/>
      <protection/>
    </xf>
    <xf numFmtId="0" fontId="86" fillId="52" borderId="0" xfId="289" applyNumberFormat="1" applyFont="1" applyFill="1" applyAlignment="1">
      <alignment horizontal="center"/>
      <protection/>
    </xf>
    <xf numFmtId="0" fontId="19" fillId="52" borderId="0" xfId="286" applyNumberFormat="1" applyFont="1" applyFill="1" applyAlignment="1">
      <alignment horizontal="center"/>
      <protection/>
    </xf>
    <xf numFmtId="49" fontId="17" fillId="52" borderId="0" xfId="289" applyNumberFormat="1" applyFont="1" applyFill="1" applyBorder="1" applyAlignment="1">
      <alignment horizontal="center" wrapText="1"/>
      <protection/>
    </xf>
    <xf numFmtId="0" fontId="82" fillId="52" borderId="26" xfId="0" applyFont="1" applyFill="1" applyBorder="1" applyAlignment="1">
      <alignment horizontal="center" wrapText="1"/>
    </xf>
    <xf numFmtId="0" fontId="82" fillId="52" borderId="25" xfId="0" applyFont="1" applyFill="1" applyBorder="1" applyAlignment="1">
      <alignment horizontal="center" wrapText="1"/>
    </xf>
    <xf numFmtId="0" fontId="31" fillId="52" borderId="20" xfId="289" applyFont="1" applyFill="1" applyBorder="1" applyAlignment="1">
      <alignment horizontal="center" vertical="center" wrapText="1"/>
      <protection/>
    </xf>
    <xf numFmtId="0" fontId="88" fillId="52" borderId="20" xfId="289" applyFont="1" applyFill="1" applyBorder="1" applyAlignment="1">
      <alignment horizontal="center" vertical="center"/>
      <protection/>
    </xf>
    <xf numFmtId="49" fontId="11" fillId="52" borderId="35" xfId="289" applyNumberFormat="1" applyFont="1" applyFill="1" applyBorder="1" applyAlignment="1">
      <alignment horizontal="center" vertical="center"/>
      <protection/>
    </xf>
    <xf numFmtId="49" fontId="11" fillId="52" borderId="36" xfId="289" applyNumberFormat="1" applyFont="1" applyFill="1" applyBorder="1" applyAlignment="1">
      <alignment horizontal="center" vertical="center"/>
      <protection/>
    </xf>
    <xf numFmtId="49" fontId="11" fillId="52" borderId="24" xfId="289" applyNumberFormat="1" applyFont="1" applyFill="1" applyBorder="1" applyAlignment="1">
      <alignment horizontal="center" vertical="center"/>
      <protection/>
    </xf>
    <xf numFmtId="49" fontId="11" fillId="52" borderId="40" xfId="289" applyNumberFormat="1" applyFont="1" applyFill="1" applyBorder="1" applyAlignment="1">
      <alignment horizontal="center" vertical="center"/>
      <protection/>
    </xf>
    <xf numFmtId="0" fontId="7" fillId="52" borderId="0" xfId="289" applyFont="1" applyFill="1" applyBorder="1" applyAlignment="1">
      <alignment horizontal="left"/>
      <protection/>
    </xf>
    <xf numFmtId="3" fontId="0" fillId="52" borderId="0" xfId="289" applyNumberFormat="1" applyFont="1" applyFill="1" applyBorder="1" applyAlignment="1">
      <alignment horizontal="left"/>
      <protection/>
    </xf>
    <xf numFmtId="3" fontId="7" fillId="52" borderId="0" xfId="289" applyNumberFormat="1" applyFont="1" applyFill="1" applyBorder="1" applyAlignment="1">
      <alignment horizontal="left"/>
      <protection/>
    </xf>
    <xf numFmtId="0" fontId="31" fillId="52" borderId="20" xfId="289" applyFont="1" applyFill="1" applyBorder="1" applyAlignment="1">
      <alignment horizontal="center" vertical="center"/>
      <protection/>
    </xf>
    <xf numFmtId="0" fontId="19" fillId="52" borderId="0" xfId="289" applyNumberFormat="1" applyFont="1" applyFill="1" applyAlignment="1">
      <alignment horizontal="center" wrapText="1"/>
      <protection/>
    </xf>
    <xf numFmtId="0" fontId="112" fillId="52" borderId="20" xfId="289" applyFont="1" applyFill="1" applyBorder="1" applyAlignment="1">
      <alignment horizontal="center" vertical="center"/>
      <protection/>
    </xf>
    <xf numFmtId="49" fontId="24" fillId="52" borderId="0" xfId="289" applyNumberFormat="1" applyFont="1" applyFill="1" applyBorder="1" applyAlignment="1">
      <alignment horizontal="left" wrapText="1"/>
      <protection/>
    </xf>
    <xf numFmtId="49" fontId="34" fillId="52" borderId="0" xfId="289" applyNumberFormat="1" applyFont="1" applyFill="1" applyAlignment="1">
      <alignment horizontal="center"/>
      <protection/>
    </xf>
    <xf numFmtId="0" fontId="30" fillId="52" borderId="0" xfId="289" applyFont="1" applyFill="1" applyBorder="1" applyAlignment="1">
      <alignment horizontal="center"/>
      <protection/>
    </xf>
    <xf numFmtId="0" fontId="85" fillId="52" borderId="0" xfId="289" applyFont="1" applyFill="1" applyAlignment="1">
      <alignment horizontal="center"/>
      <protection/>
    </xf>
    <xf numFmtId="0" fontId="17" fillId="52" borderId="0" xfId="289" applyFont="1" applyFill="1" applyBorder="1" applyAlignment="1">
      <alignment horizontal="center" wrapText="1"/>
      <protection/>
    </xf>
    <xf numFmtId="0" fontId="39" fillId="52" borderId="0" xfId="289" applyFont="1" applyFill="1" applyAlignment="1">
      <alignment horizontal="center"/>
      <protection/>
    </xf>
    <xf numFmtId="0" fontId="28" fillId="52" borderId="0" xfId="289" applyFont="1" applyFill="1" applyAlignment="1">
      <alignment horizontal="center"/>
      <protection/>
    </xf>
    <xf numFmtId="0" fontId="37" fillId="52" borderId="0" xfId="289" applyFont="1" applyFill="1" applyBorder="1" applyAlignment="1">
      <alignment horizontal="center" wrapText="1"/>
      <protection/>
    </xf>
    <xf numFmtId="0" fontId="30" fillId="52" borderId="0" xfId="286" applyFont="1" applyFill="1" applyAlignment="1">
      <alignment horizontal="center"/>
      <protection/>
    </xf>
    <xf numFmtId="0" fontId="30" fillId="52" borderId="0" xfId="289" applyFont="1" applyFill="1" applyBorder="1" applyAlignment="1">
      <alignment horizontal="center" wrapText="1"/>
      <protection/>
    </xf>
    <xf numFmtId="49" fontId="18" fillId="0" borderId="0" xfId="289" applyNumberFormat="1" applyFont="1" applyFill="1" applyAlignment="1">
      <alignment horizontal="center"/>
      <protection/>
    </xf>
    <xf numFmtId="0" fontId="39" fillId="0" borderId="0" xfId="289" applyNumberFormat="1" applyFont="1" applyFill="1" applyAlignment="1">
      <alignment horizontal="center"/>
      <protection/>
    </xf>
    <xf numFmtId="49" fontId="11" fillId="0" borderId="20" xfId="289" applyNumberFormat="1" applyFont="1" applyFill="1" applyBorder="1" applyAlignment="1">
      <alignment horizontal="center" vertical="center" wrapText="1"/>
      <protection/>
    </xf>
    <xf numFmtId="49" fontId="11" fillId="0" borderId="21" xfId="289" applyNumberFormat="1" applyFont="1" applyFill="1" applyBorder="1" applyAlignment="1">
      <alignment horizontal="center" vertical="center" wrapText="1"/>
      <protection/>
    </xf>
    <xf numFmtId="49" fontId="11" fillId="0" borderId="38" xfId="289" applyNumberFormat="1" applyFont="1" applyFill="1" applyBorder="1" applyAlignment="1">
      <alignment horizontal="center" vertical="center" wrapText="1"/>
      <protection/>
    </xf>
    <xf numFmtId="49" fontId="11" fillId="0" borderId="23" xfId="289" applyNumberFormat="1" applyFont="1" applyFill="1" applyBorder="1" applyAlignment="1">
      <alignment horizontal="center" vertical="center" wrapText="1"/>
      <protection/>
    </xf>
    <xf numFmtId="49" fontId="11" fillId="0" borderId="41" xfId="289" applyNumberFormat="1" applyFont="1" applyFill="1" applyBorder="1" applyAlignment="1">
      <alignment horizontal="center" vertical="center"/>
      <protection/>
    </xf>
    <xf numFmtId="49" fontId="11" fillId="0" borderId="25" xfId="289" applyNumberFormat="1" applyFont="1" applyFill="1" applyBorder="1" applyAlignment="1">
      <alignment horizontal="center" vertical="center" wrapText="1"/>
      <protection/>
    </xf>
    <xf numFmtId="49" fontId="90" fillId="0" borderId="26" xfId="289" applyNumberFormat="1" applyFont="1" applyFill="1" applyBorder="1" applyAlignment="1">
      <alignment horizontal="center" vertical="center" wrapText="1"/>
      <protection/>
    </xf>
    <xf numFmtId="49" fontId="90" fillId="0" borderId="25" xfId="289" applyNumberFormat="1" applyFont="1" applyFill="1" applyBorder="1" applyAlignment="1">
      <alignment horizontal="center" vertical="center" wrapText="1"/>
      <protection/>
    </xf>
    <xf numFmtId="49" fontId="11" fillId="47" borderId="26" xfId="289" applyNumberFormat="1" applyFont="1" applyFill="1" applyBorder="1" applyAlignment="1">
      <alignment horizontal="center" vertical="center" wrapText="1"/>
      <protection/>
    </xf>
    <xf numFmtId="49" fontId="11" fillId="52" borderId="25" xfId="289" applyNumberFormat="1" applyFont="1" applyFill="1" applyBorder="1" applyAlignment="1">
      <alignment horizontal="center" vertical="center" wrapText="1"/>
      <protection/>
    </xf>
    <xf numFmtId="49" fontId="19" fillId="0" borderId="0" xfId="289" applyNumberFormat="1" applyFont="1" applyFill="1" applyAlignment="1">
      <alignment horizontal="center" wrapText="1"/>
      <protection/>
    </xf>
    <xf numFmtId="49" fontId="19" fillId="0" borderId="0" xfId="289" applyNumberFormat="1" applyFont="1" applyFill="1" applyAlignment="1">
      <alignment horizontal="center"/>
      <protection/>
    </xf>
    <xf numFmtId="49" fontId="0" fillId="0" borderId="0" xfId="286" applyNumberFormat="1" applyFont="1" applyFill="1" applyAlignment="1">
      <alignment horizontal="justify" wrapText="1"/>
      <protection/>
    </xf>
    <xf numFmtId="49" fontId="0" fillId="0" borderId="0" xfId="286" applyNumberFormat="1" applyFont="1" applyFill="1" applyAlignment="1">
      <alignment horizontal="justify" wrapText="1"/>
      <protection/>
    </xf>
    <xf numFmtId="0" fontId="7" fillId="0" borderId="0" xfId="289" applyNumberFormat="1" applyFont="1" applyFill="1" applyBorder="1" applyAlignment="1">
      <alignment horizontal="left"/>
      <protection/>
    </xf>
    <xf numFmtId="49" fontId="0" fillId="0" borderId="0" xfId="286" applyNumberFormat="1" applyFont="1" applyFill="1" applyAlignment="1">
      <alignment horizontal="left"/>
      <protection/>
    </xf>
    <xf numFmtId="49" fontId="23" fillId="0" borderId="0" xfId="286" applyNumberFormat="1" applyFont="1" applyFill="1" applyBorder="1" applyAlignment="1">
      <alignment horizontal="left"/>
      <protection/>
    </xf>
    <xf numFmtId="49" fontId="30" fillId="0" borderId="0" xfId="289" applyNumberFormat="1" applyFont="1" applyFill="1" applyBorder="1" applyAlignment="1">
      <alignment horizontal="center" wrapText="1"/>
      <protection/>
    </xf>
    <xf numFmtId="0" fontId="30" fillId="0" borderId="0" xfId="289" applyNumberFormat="1" applyFont="1" applyFill="1" applyBorder="1" applyAlignment="1">
      <alignment horizontal="center"/>
      <protection/>
    </xf>
    <xf numFmtId="49" fontId="34" fillId="0" borderId="0" xfId="289" applyNumberFormat="1" applyFont="1" applyFill="1" applyAlignment="1">
      <alignment horizontal="center"/>
      <protection/>
    </xf>
    <xf numFmtId="49" fontId="37" fillId="0" borderId="0" xfId="289" applyNumberFormat="1" applyFont="1" applyFill="1" applyAlignment="1">
      <alignment horizontal="center"/>
      <protection/>
    </xf>
    <xf numFmtId="0" fontId="37" fillId="0" borderId="0" xfId="289" applyNumberFormat="1" applyFont="1" applyFill="1" applyAlignment="1">
      <alignment horizontal="center"/>
      <protection/>
    </xf>
    <xf numFmtId="49" fontId="37" fillId="0" borderId="0" xfId="289" applyNumberFormat="1" applyFont="1" applyFill="1" applyBorder="1" applyAlignment="1">
      <alignment horizontal="center" wrapText="1"/>
      <protection/>
    </xf>
    <xf numFmtId="0" fontId="37" fillId="0" borderId="0" xfId="289" applyNumberFormat="1" applyFont="1" applyFill="1" applyBorder="1" applyAlignment="1">
      <alignment horizontal="center"/>
      <protection/>
    </xf>
    <xf numFmtId="49" fontId="11" fillId="0" borderId="35" xfId="289" applyNumberFormat="1" applyFont="1" applyFill="1" applyBorder="1" applyAlignment="1">
      <alignment horizontal="center" vertical="center"/>
      <protection/>
    </xf>
    <xf numFmtId="49" fontId="11" fillId="0" borderId="36" xfId="289" applyNumberFormat="1" applyFont="1" applyFill="1" applyBorder="1" applyAlignment="1">
      <alignment horizontal="center" vertical="center"/>
      <protection/>
    </xf>
    <xf numFmtId="49" fontId="11" fillId="0" borderId="24" xfId="289" applyNumberFormat="1" applyFont="1" applyFill="1" applyBorder="1" applyAlignment="1">
      <alignment horizontal="center" vertical="center"/>
      <protection/>
    </xf>
    <xf numFmtId="49" fontId="11" fillId="0" borderId="40" xfId="289" applyNumberFormat="1" applyFont="1" applyFill="1" applyBorder="1" applyAlignment="1">
      <alignment horizontal="center" vertical="center"/>
      <protection/>
    </xf>
    <xf numFmtId="49" fontId="11" fillId="0" borderId="27" xfId="289" applyNumberFormat="1" applyFont="1" applyFill="1" applyBorder="1" applyAlignment="1">
      <alignment horizontal="center" vertical="center"/>
      <protection/>
    </xf>
    <xf numFmtId="49" fontId="11" fillId="0" borderId="37" xfId="289" applyNumberFormat="1" applyFont="1" applyFill="1" applyBorder="1" applyAlignment="1">
      <alignment horizontal="center" vertical="center"/>
      <protection/>
    </xf>
    <xf numFmtId="49" fontId="11" fillId="0" borderId="26" xfId="289" applyNumberFormat="1" applyFont="1" applyFill="1" applyBorder="1" applyAlignment="1">
      <alignment horizontal="center" vertical="center"/>
      <protection/>
    </xf>
    <xf numFmtId="49" fontId="11" fillId="0" borderId="26" xfId="289" applyNumberFormat="1" applyFont="1" applyFill="1" applyBorder="1" applyAlignment="1">
      <alignment horizontal="center" vertical="center" wrapText="1"/>
      <protection/>
    </xf>
    <xf numFmtId="49" fontId="0" fillId="0" borderId="0" xfId="0" applyNumberFormat="1" applyFont="1" applyFill="1" applyAlignment="1">
      <alignment horizontal="left"/>
    </xf>
    <xf numFmtId="0" fontId="19" fillId="0" borderId="0" xfId="289" applyFont="1" applyFill="1" applyAlignment="1">
      <alignment horizontal="center" wrapText="1"/>
      <protection/>
    </xf>
    <xf numFmtId="0" fontId="7" fillId="0" borderId="0" xfId="289" applyFont="1" applyFill="1" applyBorder="1" applyAlignment="1">
      <alignment horizontal="left"/>
      <protection/>
    </xf>
    <xf numFmtId="0" fontId="0" fillId="0" borderId="0" xfId="289" applyFont="1" applyFill="1" applyBorder="1" applyAlignment="1">
      <alignment horizontal="left"/>
      <protection/>
    </xf>
    <xf numFmtId="0" fontId="19" fillId="0" borderId="0" xfId="289" applyFont="1" applyFill="1" applyAlignment="1">
      <alignment horizontal="center"/>
      <protection/>
    </xf>
    <xf numFmtId="3" fontId="0" fillId="0" borderId="0" xfId="289" applyNumberFormat="1" applyFont="1" applyFill="1" applyBorder="1" applyAlignment="1">
      <alignment horizontal="left"/>
      <protection/>
    </xf>
    <xf numFmtId="3" fontId="0" fillId="0" borderId="0" xfId="289" applyNumberFormat="1" applyFont="1" applyFill="1" applyBorder="1" applyAlignment="1">
      <alignment horizontal="left"/>
      <protection/>
    </xf>
    <xf numFmtId="0" fontId="17" fillId="0" borderId="20" xfId="289" applyFont="1" applyFill="1" applyBorder="1" applyAlignment="1">
      <alignment horizontal="center" vertical="center" wrapText="1"/>
      <protection/>
    </xf>
    <xf numFmtId="0" fontId="39" fillId="0" borderId="0" xfId="289" applyFont="1" applyFill="1" applyAlignment="1">
      <alignment horizontal="center"/>
      <protection/>
    </xf>
    <xf numFmtId="49" fontId="0" fillId="0" borderId="0" xfId="0" applyNumberFormat="1" applyFont="1" applyFill="1" applyAlignment="1">
      <alignment horizontal="left"/>
    </xf>
    <xf numFmtId="49" fontId="11" fillId="0" borderId="19" xfId="289" applyNumberFormat="1" applyFont="1" applyFill="1" applyBorder="1" applyAlignment="1">
      <alignment horizontal="center" vertical="center"/>
      <protection/>
    </xf>
    <xf numFmtId="49" fontId="11" fillId="0" borderId="0" xfId="289" applyNumberFormat="1" applyFont="1" applyFill="1" applyBorder="1" applyAlignment="1">
      <alignment horizontal="center" vertical="center"/>
      <protection/>
    </xf>
    <xf numFmtId="49" fontId="11" fillId="0" borderId="22" xfId="289" applyNumberFormat="1" applyFont="1" applyFill="1" applyBorder="1" applyAlignment="1">
      <alignment horizontal="center" vertical="center"/>
      <protection/>
    </xf>
    <xf numFmtId="0" fontId="11" fillId="0" borderId="21" xfId="289" applyFont="1" applyFill="1" applyBorder="1" applyAlignment="1">
      <alignment horizontal="center" vertical="center" wrapText="1"/>
      <protection/>
    </xf>
    <xf numFmtId="0" fontId="11" fillId="0" borderId="38" xfId="289" applyFont="1" applyFill="1" applyBorder="1" applyAlignment="1">
      <alignment horizontal="center" vertical="center" wrapText="1"/>
      <protection/>
    </xf>
    <xf numFmtId="0" fontId="11" fillId="0" borderId="23" xfId="289" applyFont="1" applyFill="1" applyBorder="1" applyAlignment="1">
      <alignment horizontal="center" vertical="center" wrapText="1"/>
      <protection/>
    </xf>
    <xf numFmtId="0" fontId="11" fillId="0" borderId="26" xfId="289" applyFont="1" applyFill="1" applyBorder="1" applyAlignment="1">
      <alignment horizontal="center" vertical="center"/>
      <protection/>
    </xf>
    <xf numFmtId="0" fontId="11" fillId="0" borderId="41" xfId="289" applyFont="1" applyFill="1" applyBorder="1" applyAlignment="1">
      <alignment horizontal="center" vertical="center"/>
      <protection/>
    </xf>
    <xf numFmtId="0" fontId="11" fillId="0" borderId="25" xfId="289" applyFont="1" applyFill="1" applyBorder="1" applyAlignment="1">
      <alignment horizontal="center" vertical="center"/>
      <protection/>
    </xf>
    <xf numFmtId="0" fontId="11" fillId="0" borderId="20" xfId="289" applyFont="1" applyFill="1" applyBorder="1" applyAlignment="1">
      <alignment horizontal="center" vertical="center" wrapText="1"/>
      <protection/>
    </xf>
    <xf numFmtId="0" fontId="11" fillId="0" borderId="35" xfId="289" applyFont="1" applyFill="1" applyBorder="1" applyAlignment="1">
      <alignment horizontal="center" vertical="center" wrapText="1"/>
      <protection/>
    </xf>
    <xf numFmtId="0" fontId="11" fillId="0" borderId="19" xfId="289" applyFont="1" applyFill="1" applyBorder="1" applyAlignment="1">
      <alignment horizontal="center" vertical="center" wrapText="1"/>
      <protection/>
    </xf>
    <xf numFmtId="0" fontId="11" fillId="0" borderId="36" xfId="289" applyFont="1" applyFill="1" applyBorder="1" applyAlignment="1">
      <alignment horizontal="center" vertical="center" wrapText="1"/>
      <protection/>
    </xf>
    <xf numFmtId="0" fontId="11" fillId="0" borderId="24" xfId="289" applyFont="1" applyFill="1" applyBorder="1" applyAlignment="1">
      <alignment horizontal="center" vertical="center" wrapText="1"/>
      <protection/>
    </xf>
    <xf numFmtId="0" fontId="11" fillId="0" borderId="0" xfId="289" applyFont="1" applyFill="1" applyBorder="1" applyAlignment="1">
      <alignment horizontal="center" vertical="center" wrapText="1"/>
      <protection/>
    </xf>
    <xf numFmtId="0" fontId="11" fillId="0" borderId="40" xfId="289" applyFont="1" applyFill="1" applyBorder="1" applyAlignment="1">
      <alignment horizontal="center" vertical="center" wrapText="1"/>
      <protection/>
    </xf>
    <xf numFmtId="0" fontId="11" fillId="0" borderId="25" xfId="289" applyFont="1" applyFill="1" applyBorder="1" applyAlignment="1">
      <alignment horizontal="center" vertical="center" wrapText="1"/>
      <protection/>
    </xf>
    <xf numFmtId="0" fontId="11" fillId="0" borderId="20" xfId="289" applyFont="1" applyFill="1" applyBorder="1" applyAlignment="1">
      <alignment horizontal="center" vertical="center"/>
      <protection/>
    </xf>
    <xf numFmtId="0" fontId="37" fillId="0" borderId="0" xfId="289" applyNumberFormat="1" applyFont="1" applyFill="1" applyBorder="1" applyAlignment="1">
      <alignment horizontal="center" wrapText="1"/>
      <protection/>
    </xf>
    <xf numFmtId="0" fontId="26" fillId="0" borderId="26" xfId="289" applyFont="1" applyFill="1" applyBorder="1" applyAlignment="1">
      <alignment horizontal="center" vertical="center" wrapText="1"/>
      <protection/>
    </xf>
    <xf numFmtId="0" fontId="26" fillId="0" borderId="25" xfId="289" applyFont="1" applyFill="1" applyBorder="1" applyAlignment="1">
      <alignment horizontal="center" vertical="center" wrapText="1"/>
      <protection/>
    </xf>
    <xf numFmtId="0" fontId="30" fillId="0" borderId="0" xfId="289" applyNumberFormat="1" applyFont="1" applyFill="1" applyBorder="1" applyAlignment="1">
      <alignment horizontal="center" wrapText="1"/>
      <protection/>
    </xf>
    <xf numFmtId="0" fontId="94" fillId="0" borderId="0" xfId="289" applyNumberFormat="1" applyFont="1" applyFill="1" applyAlignment="1">
      <alignment horizontal="center"/>
      <protection/>
    </xf>
    <xf numFmtId="49" fontId="11" fillId="52" borderId="20" xfId="289" applyNumberFormat="1" applyFont="1" applyFill="1" applyBorder="1" applyAlignment="1">
      <alignment horizontal="center" vertical="center" wrapText="1"/>
      <protection/>
    </xf>
    <xf numFmtId="49" fontId="37" fillId="52" borderId="0" xfId="289" applyNumberFormat="1" applyFont="1" applyFill="1" applyBorder="1" applyAlignment="1">
      <alignment horizontal="center" wrapText="1"/>
      <protection/>
    </xf>
    <xf numFmtId="0" fontId="37" fillId="52" borderId="0" xfId="289" applyNumberFormat="1" applyFont="1" applyFill="1" applyBorder="1" applyAlignment="1">
      <alignment horizontal="center"/>
      <protection/>
    </xf>
    <xf numFmtId="0" fontId="24" fillId="52" borderId="0" xfId="289" applyNumberFormat="1" applyFont="1" applyFill="1" applyBorder="1" applyAlignment="1">
      <alignment horizontal="center"/>
      <protection/>
    </xf>
    <xf numFmtId="49" fontId="11" fillId="52" borderId="20" xfId="289" applyNumberFormat="1" applyFont="1" applyFill="1" applyBorder="1" applyAlignment="1">
      <alignment horizontal="center" vertical="center"/>
      <protection/>
    </xf>
    <xf numFmtId="0" fontId="85" fillId="52" borderId="0" xfId="289" applyNumberFormat="1" applyFont="1" applyFill="1" applyAlignment="1">
      <alignment horizontal="center"/>
      <protection/>
    </xf>
    <xf numFmtId="49" fontId="17" fillId="52" borderId="20" xfId="289" applyNumberFormat="1" applyFont="1" applyFill="1" applyBorder="1" applyAlignment="1">
      <alignment horizontal="center" vertical="center" wrapText="1"/>
      <protection/>
    </xf>
    <xf numFmtId="49" fontId="80" fillId="52" borderId="20" xfId="289" applyNumberFormat="1" applyFont="1" applyFill="1" applyBorder="1" applyAlignment="1">
      <alignment horizontal="center" vertical="center" wrapText="1"/>
      <protection/>
    </xf>
    <xf numFmtId="0" fontId="7" fillId="52" borderId="0" xfId="289" applyNumberFormat="1" applyFont="1" applyFill="1" applyAlignment="1">
      <alignment horizontal="left"/>
      <protection/>
    </xf>
    <xf numFmtId="49" fontId="11" fillId="52" borderId="21" xfId="289" applyNumberFormat="1" applyFont="1" applyFill="1" applyBorder="1" applyAlignment="1">
      <alignment horizontal="center" vertical="center" wrapText="1"/>
      <protection/>
    </xf>
    <xf numFmtId="49" fontId="11" fillId="52" borderId="23" xfId="289" applyNumberFormat="1" applyFont="1" applyFill="1" applyBorder="1" applyAlignment="1">
      <alignment horizontal="center" vertical="center" wrapText="1"/>
      <protection/>
    </xf>
    <xf numFmtId="49" fontId="11" fillId="52" borderId="26" xfId="289" applyNumberFormat="1" applyFont="1" applyFill="1" applyBorder="1" applyAlignment="1">
      <alignment horizontal="center" vertical="center" wrapText="1"/>
      <protection/>
    </xf>
    <xf numFmtId="49" fontId="11" fillId="52" borderId="41" xfId="289" applyNumberFormat="1" applyFont="1" applyFill="1" applyBorder="1" applyAlignment="1">
      <alignment horizontal="center" vertical="center" wrapText="1"/>
      <protection/>
    </xf>
    <xf numFmtId="49" fontId="11" fillId="52" borderId="38" xfId="289" applyNumberFormat="1" applyFont="1" applyFill="1" applyBorder="1" applyAlignment="1">
      <alignment horizontal="center" vertical="center" wrapText="1"/>
      <protection/>
    </xf>
    <xf numFmtId="49" fontId="23" fillId="52" borderId="22" xfId="289" applyNumberFormat="1" applyFont="1" applyFill="1" applyBorder="1" applyAlignment="1">
      <alignment horizontal="right"/>
      <protection/>
    </xf>
    <xf numFmtId="49" fontId="12" fillId="52" borderId="0" xfId="289" applyNumberFormat="1" applyFont="1" applyFill="1" applyAlignment="1">
      <alignment horizontal="left"/>
      <protection/>
    </xf>
    <xf numFmtId="49" fontId="0" fillId="52" borderId="0" xfId="0" applyNumberFormat="1" applyFont="1" applyFill="1" applyBorder="1" applyAlignment="1">
      <alignment horizontal="left"/>
    </xf>
    <xf numFmtId="49" fontId="24" fillId="52" borderId="0" xfId="289" applyNumberFormat="1" applyFont="1" applyFill="1" applyAlignment="1">
      <alignment horizontal="center"/>
      <protection/>
    </xf>
    <xf numFmtId="49" fontId="11" fillId="52" borderId="35" xfId="289" applyNumberFormat="1" applyFont="1" applyFill="1" applyBorder="1" applyAlignment="1">
      <alignment horizontal="center" vertical="center" wrapText="1"/>
      <protection/>
    </xf>
    <xf numFmtId="49" fontId="11" fillId="52" borderId="19" xfId="289" applyNumberFormat="1" applyFont="1" applyFill="1" applyBorder="1" applyAlignment="1">
      <alignment horizontal="center" vertical="center" wrapText="1"/>
      <protection/>
    </xf>
    <xf numFmtId="49" fontId="11" fillId="52" borderId="36" xfId="289" applyNumberFormat="1" applyFont="1" applyFill="1" applyBorder="1" applyAlignment="1">
      <alignment horizontal="center" vertical="center" wrapText="1"/>
      <protection/>
    </xf>
    <xf numFmtId="49" fontId="0" fillId="52" borderId="0" xfId="289" applyNumberFormat="1" applyFont="1" applyFill="1" applyBorder="1" applyAlignment="1">
      <alignment horizontal="left"/>
      <protection/>
    </xf>
    <xf numFmtId="49" fontId="11" fillId="52" borderId="27" xfId="289" applyNumberFormat="1" applyFont="1" applyFill="1" applyBorder="1" applyAlignment="1">
      <alignment horizontal="center" vertical="center"/>
      <protection/>
    </xf>
    <xf numFmtId="49" fontId="11" fillId="52" borderId="37" xfId="289" applyNumberFormat="1" applyFont="1" applyFill="1" applyBorder="1" applyAlignment="1">
      <alignment horizontal="center" vertical="center"/>
      <protection/>
    </xf>
    <xf numFmtId="49" fontId="8" fillId="52" borderId="26" xfId="0" applyNumberFormat="1" applyFont="1" applyFill="1" applyBorder="1" applyAlignment="1">
      <alignment horizontal="center" vertical="center" wrapText="1"/>
    </xf>
    <xf numFmtId="49" fontId="8" fillId="52" borderId="25" xfId="0" applyNumberFormat="1" applyFont="1" applyFill="1" applyBorder="1" applyAlignment="1">
      <alignment horizontal="center" vertical="center" wrapText="1"/>
    </xf>
    <xf numFmtId="49" fontId="30" fillId="52" borderId="0" xfId="289" applyNumberFormat="1" applyFont="1" applyFill="1" applyBorder="1" applyAlignment="1">
      <alignment horizontal="center" wrapText="1"/>
      <protection/>
    </xf>
    <xf numFmtId="49" fontId="24" fillId="52" borderId="26" xfId="289" applyNumberFormat="1" applyFont="1" applyFill="1" applyBorder="1" applyAlignment="1">
      <alignment horizontal="center" vertical="center" wrapText="1"/>
      <protection/>
    </xf>
    <xf numFmtId="49" fontId="24" fillId="52" borderId="25" xfId="289" applyNumberFormat="1" applyFont="1" applyFill="1" applyBorder="1" applyAlignment="1">
      <alignment horizontal="center" vertical="center" wrapText="1"/>
      <protection/>
    </xf>
    <xf numFmtId="49" fontId="7" fillId="52" borderId="0" xfId="289" applyNumberFormat="1" applyFont="1" applyFill="1" applyAlignment="1">
      <alignment horizontal="left"/>
      <protection/>
    </xf>
    <xf numFmtId="49" fontId="18" fillId="52" borderId="22" xfId="289" applyNumberFormat="1" applyFont="1" applyFill="1" applyBorder="1" applyAlignment="1">
      <alignment horizontal="center" vertical="center"/>
      <protection/>
    </xf>
    <xf numFmtId="49" fontId="11" fillId="52" borderId="27" xfId="289" applyNumberFormat="1" applyFont="1" applyFill="1" applyBorder="1" applyAlignment="1">
      <alignment horizontal="center" vertical="center" wrapText="1"/>
      <protection/>
    </xf>
    <xf numFmtId="49" fontId="11" fillId="52" borderId="37" xfId="289" applyNumberFormat="1" applyFont="1" applyFill="1" applyBorder="1" applyAlignment="1">
      <alignment horizontal="center" vertical="center" wrapText="1"/>
      <protection/>
    </xf>
    <xf numFmtId="0" fontId="88" fillId="52" borderId="41" xfId="289" applyFont="1" applyFill="1" applyBorder="1" applyAlignment="1">
      <alignment horizontal="center" vertical="center" wrapText="1"/>
      <protection/>
    </xf>
    <xf numFmtId="0" fontId="88" fillId="52" borderId="25" xfId="289" applyFont="1" applyFill="1" applyBorder="1" applyAlignment="1">
      <alignment horizontal="center" vertical="center" wrapText="1"/>
      <protection/>
    </xf>
    <xf numFmtId="0" fontId="27" fillId="52" borderId="0" xfId="289" applyNumberFormat="1" applyFont="1" applyFill="1" applyBorder="1" applyAlignment="1">
      <alignment horizontal="center"/>
      <protection/>
    </xf>
    <xf numFmtId="49" fontId="24" fillId="52" borderId="26" xfId="289" applyNumberFormat="1" applyFont="1" applyFill="1" applyBorder="1" applyAlignment="1">
      <alignment horizontal="center" vertical="center"/>
      <protection/>
    </xf>
    <xf numFmtId="49" fontId="24" fillId="52" borderId="25" xfId="289" applyNumberFormat="1" applyFont="1" applyFill="1" applyBorder="1" applyAlignment="1">
      <alignment horizontal="center" vertical="center"/>
      <protection/>
    </xf>
    <xf numFmtId="49" fontId="11" fillId="52" borderId="24" xfId="289" applyNumberFormat="1" applyFont="1" applyFill="1" applyBorder="1" applyAlignment="1">
      <alignment horizontal="center" vertical="center" wrapText="1"/>
      <protection/>
    </xf>
    <xf numFmtId="49" fontId="11" fillId="52" borderId="40" xfId="289" applyNumberFormat="1" applyFont="1" applyFill="1" applyBorder="1" applyAlignment="1">
      <alignment horizontal="center" vertical="center" wrapText="1"/>
      <protection/>
    </xf>
    <xf numFmtId="49" fontId="113" fillId="52" borderId="26" xfId="0" applyNumberFormat="1" applyFont="1" applyFill="1" applyBorder="1" applyAlignment="1">
      <alignment horizontal="center"/>
    </xf>
    <xf numFmtId="49" fontId="113" fillId="52" borderId="25" xfId="0" applyNumberFormat="1" applyFont="1" applyFill="1" applyBorder="1" applyAlignment="1">
      <alignment horizontal="center"/>
    </xf>
    <xf numFmtId="0" fontId="19" fillId="52" borderId="0" xfId="289" applyFont="1" applyFill="1" applyAlignment="1">
      <alignment horizontal="center" wrapText="1"/>
      <protection/>
    </xf>
    <xf numFmtId="0" fontId="19" fillId="52" borderId="0" xfId="289" applyNumberFormat="1" applyFont="1" applyFill="1" applyAlignment="1">
      <alignment horizontal="center"/>
      <protection/>
    </xf>
    <xf numFmtId="0" fontId="8" fillId="52" borderId="20" xfId="289" applyFont="1" applyFill="1" applyBorder="1" applyAlignment="1">
      <alignment horizontal="center" vertical="center" wrapText="1"/>
      <protection/>
    </xf>
    <xf numFmtId="0" fontId="26" fillId="52" borderId="26" xfId="289" applyFont="1" applyFill="1" applyBorder="1" applyAlignment="1">
      <alignment horizontal="center" vertical="center" wrapText="1"/>
      <protection/>
    </xf>
    <xf numFmtId="0" fontId="26" fillId="52" borderId="25" xfId="289" applyFont="1" applyFill="1" applyBorder="1" applyAlignment="1">
      <alignment horizontal="center" vertical="center" wrapText="1"/>
      <protection/>
    </xf>
    <xf numFmtId="0" fontId="18" fillId="52" borderId="0" xfId="289" applyFont="1" applyFill="1" applyAlignment="1">
      <alignment horizontal="center"/>
      <protection/>
    </xf>
    <xf numFmtId="0" fontId="30" fillId="52" borderId="0" xfId="289" applyNumberFormat="1" applyFont="1" applyFill="1" applyAlignment="1">
      <alignment horizontal="center"/>
      <protection/>
    </xf>
    <xf numFmtId="0" fontId="37" fillId="52" borderId="0" xfId="289" applyNumberFormat="1" applyFont="1" applyFill="1" applyBorder="1" applyAlignment="1">
      <alignment horizontal="justify" vertical="justify" wrapText="1"/>
      <protection/>
    </xf>
    <xf numFmtId="49" fontId="8" fillId="52" borderId="35" xfId="289" applyNumberFormat="1" applyFont="1" applyFill="1" applyBorder="1" applyAlignment="1">
      <alignment horizontal="center" vertical="center"/>
      <protection/>
    </xf>
    <xf numFmtId="49" fontId="8" fillId="52" borderId="36" xfId="289" applyNumberFormat="1" applyFont="1" applyFill="1" applyBorder="1" applyAlignment="1">
      <alignment horizontal="center" vertical="center"/>
      <protection/>
    </xf>
    <xf numFmtId="49" fontId="8" fillId="52" borderId="24" xfId="289" applyNumberFormat="1" applyFont="1" applyFill="1" applyBorder="1" applyAlignment="1">
      <alignment horizontal="center" vertical="center"/>
      <protection/>
    </xf>
    <xf numFmtId="49" fontId="8" fillId="52" borderId="40" xfId="289" applyNumberFormat="1" applyFont="1" applyFill="1" applyBorder="1" applyAlignment="1">
      <alignment horizontal="center" vertical="center"/>
      <protection/>
    </xf>
    <xf numFmtId="49" fontId="8" fillId="52" borderId="27" xfId="289" applyNumberFormat="1" applyFont="1" applyFill="1" applyBorder="1" applyAlignment="1">
      <alignment horizontal="center" vertical="center"/>
      <protection/>
    </xf>
    <xf numFmtId="49" fontId="8" fillId="52" borderId="37" xfId="289" applyNumberFormat="1" applyFont="1" applyFill="1" applyBorder="1" applyAlignment="1">
      <alignment horizontal="center" vertical="center"/>
      <protection/>
    </xf>
    <xf numFmtId="0" fontId="114" fillId="52" borderId="26" xfId="0" applyFont="1" applyFill="1" applyBorder="1" applyAlignment="1">
      <alignment horizontal="center" wrapText="1"/>
    </xf>
    <xf numFmtId="0" fontId="114" fillId="52" borderId="25" xfId="0" applyFont="1" applyFill="1" applyBorder="1" applyAlignment="1">
      <alignment horizontal="center" wrapText="1"/>
    </xf>
    <xf numFmtId="0" fontId="34" fillId="52" borderId="0" xfId="289" applyNumberFormat="1" applyFont="1" applyFill="1" applyBorder="1" applyAlignment="1">
      <alignment horizontal="center"/>
      <protection/>
    </xf>
    <xf numFmtId="0" fontId="0" fillId="0" borderId="0" xfId="0" applyFont="1" applyBorder="1" applyAlignment="1">
      <alignment horizontal="left"/>
    </xf>
    <xf numFmtId="0" fontId="0" fillId="0" borderId="0" xfId="0" applyNumberFormat="1" applyFont="1" applyAlignment="1">
      <alignment horizontal="left"/>
    </xf>
    <xf numFmtId="0" fontId="0" fillId="0" borderId="0" xfId="289" applyNumberFormat="1" applyFont="1" applyFill="1" applyAlignment="1">
      <alignment horizontal="left"/>
      <protection/>
    </xf>
    <xf numFmtId="0" fontId="7" fillId="0" borderId="0" xfId="289" applyNumberFormat="1" applyFont="1" applyFill="1" applyAlignment="1">
      <alignment horizontal="left"/>
      <protection/>
    </xf>
    <xf numFmtId="0" fontId="39" fillId="0" borderId="0" xfId="289" applyNumberFormat="1" applyFont="1" applyFill="1" applyAlignment="1">
      <alignment horizontal="center"/>
      <protection/>
    </xf>
    <xf numFmtId="0" fontId="26" fillId="0" borderId="0" xfId="289" applyNumberFormat="1" applyFont="1" applyFill="1" applyAlignment="1">
      <alignment horizontal="center"/>
      <protection/>
    </xf>
    <xf numFmtId="0" fontId="0" fillId="0" borderId="0" xfId="289" applyNumberFormat="1" applyFont="1" applyFill="1" applyAlignment="1">
      <alignment horizontal="left"/>
      <protection/>
    </xf>
    <xf numFmtId="0" fontId="19" fillId="0" borderId="0" xfId="289" applyNumberFormat="1" applyFont="1" applyFill="1" applyAlignment="1">
      <alignment horizontal="center" vertical="center"/>
      <protection/>
    </xf>
    <xf numFmtId="0" fontId="23" fillId="0" borderId="0" xfId="289" applyNumberFormat="1" applyFont="1" applyFill="1" applyAlignment="1">
      <alignment horizontal="center" wrapText="1"/>
      <protection/>
    </xf>
    <xf numFmtId="0" fontId="8" fillId="0" borderId="0" xfId="289" applyNumberFormat="1" applyFont="1" applyFill="1" applyAlignment="1">
      <alignment horizontal="left"/>
      <protection/>
    </xf>
    <xf numFmtId="0" fontId="18" fillId="0" borderId="0" xfId="289" applyNumberFormat="1" applyFont="1" applyFill="1" applyBorder="1" applyAlignment="1">
      <alignment horizontal="left" wrapText="1"/>
      <protection/>
    </xf>
    <xf numFmtId="49" fontId="12" fillId="0" borderId="48" xfId="289" applyNumberFormat="1" applyFont="1" applyFill="1" applyBorder="1" applyAlignment="1">
      <alignment horizontal="center" vertical="center"/>
      <protection/>
    </xf>
    <xf numFmtId="49" fontId="12" fillId="0" borderId="45" xfId="289" applyNumberFormat="1" applyFont="1" applyFill="1" applyBorder="1" applyAlignment="1">
      <alignment horizontal="center" vertical="center"/>
      <protection/>
    </xf>
    <xf numFmtId="49" fontId="12" fillId="0" borderId="49" xfId="289" applyNumberFormat="1" applyFont="1" applyFill="1" applyBorder="1" applyAlignment="1">
      <alignment horizontal="center" vertical="center"/>
      <protection/>
    </xf>
    <xf numFmtId="49" fontId="12" fillId="0" borderId="20" xfId="289" applyNumberFormat="1" applyFont="1" applyFill="1" applyBorder="1" applyAlignment="1">
      <alignment horizontal="center" vertical="center"/>
      <protection/>
    </xf>
    <xf numFmtId="0" fontId="12" fillId="0" borderId="45" xfId="289" applyNumberFormat="1" applyFont="1" applyFill="1" applyBorder="1" applyAlignment="1">
      <alignment horizontal="center" vertical="center" wrapText="1"/>
      <protection/>
    </xf>
    <xf numFmtId="0" fontId="12" fillId="0" borderId="47" xfId="289" applyNumberFormat="1" applyFont="1" applyFill="1" applyBorder="1" applyAlignment="1">
      <alignment horizontal="center" vertical="center" wrapText="1"/>
      <protection/>
    </xf>
    <xf numFmtId="0" fontId="12" fillId="0" borderId="39" xfId="289" applyNumberFormat="1" applyFont="1" applyFill="1" applyBorder="1" applyAlignment="1">
      <alignment horizontal="center" vertical="center" wrapText="1"/>
      <protection/>
    </xf>
    <xf numFmtId="0" fontId="12" fillId="0" borderId="20" xfId="289" applyNumberFormat="1" applyFont="1" applyFill="1" applyBorder="1" applyAlignment="1">
      <alignment horizontal="center" vertical="center" wrapText="1"/>
      <protection/>
    </xf>
    <xf numFmtId="0" fontId="33" fillId="0" borderId="20" xfId="289" applyFont="1" applyFill="1" applyBorder="1" applyAlignment="1">
      <alignment horizontal="center" vertical="center"/>
      <protection/>
    </xf>
    <xf numFmtId="0" fontId="21" fillId="0" borderId="49" xfId="289" applyNumberFormat="1" applyFont="1" applyFill="1" applyBorder="1" applyAlignment="1">
      <alignment horizontal="center" wrapText="1"/>
      <protection/>
    </xf>
    <xf numFmtId="0" fontId="21" fillId="0" borderId="20" xfId="289" applyNumberFormat="1" applyFont="1" applyFill="1" applyBorder="1" applyAlignment="1">
      <alignment horizontal="center" wrapText="1"/>
      <protection/>
    </xf>
    <xf numFmtId="0" fontId="12" fillId="0" borderId="26" xfId="0" applyNumberFormat="1" applyFont="1" applyBorder="1" applyAlignment="1">
      <alignment horizontal="center" wrapText="1"/>
    </xf>
    <xf numFmtId="0" fontId="12" fillId="0" borderId="25" xfId="0" applyNumberFormat="1" applyFont="1" applyBorder="1" applyAlignment="1">
      <alignment horizontal="center" wrapText="1"/>
    </xf>
    <xf numFmtId="0" fontId="34" fillId="0" borderId="0" xfId="289" applyNumberFormat="1" applyFont="1" applyFill="1" applyBorder="1" applyAlignment="1">
      <alignment horizontal="center"/>
      <protection/>
    </xf>
    <xf numFmtId="210" fontId="12" fillId="47" borderId="21" xfId="290" applyNumberFormat="1" applyFont="1" applyFill="1" applyBorder="1" applyAlignment="1">
      <alignment horizontal="right" vertical="center"/>
      <protection/>
    </xf>
    <xf numFmtId="210" fontId="7" fillId="47" borderId="21" xfId="290" applyNumberFormat="1" applyFont="1" applyFill="1" applyBorder="1" applyAlignment="1">
      <alignment horizontal="right" vertical="center"/>
      <protection/>
    </xf>
    <xf numFmtId="210" fontId="12" fillId="47" borderId="23" xfId="290" applyNumberFormat="1" applyFont="1" applyFill="1" applyBorder="1" applyAlignment="1">
      <alignment horizontal="right" vertical="center"/>
      <protection/>
    </xf>
    <xf numFmtId="210" fontId="7" fillId="47" borderId="23" xfId="290" applyNumberFormat="1" applyFont="1" applyFill="1" applyBorder="1" applyAlignment="1">
      <alignment horizontal="right" vertical="center"/>
      <protection/>
    </xf>
    <xf numFmtId="210" fontId="12" fillId="47" borderId="20" xfId="290" applyNumberFormat="1" applyFont="1" applyFill="1" applyBorder="1" applyAlignment="1">
      <alignment horizontal="right" vertical="center"/>
      <protection/>
    </xf>
    <xf numFmtId="210" fontId="11" fillId="47" borderId="26" xfId="290" applyNumberFormat="1" applyFont="1" applyFill="1" applyBorder="1" applyAlignment="1">
      <alignment horizontal="right" vertical="center"/>
      <protection/>
    </xf>
    <xf numFmtId="210" fontId="11" fillId="47" borderId="20" xfId="290" applyNumberFormat="1" applyFont="1" applyFill="1" applyBorder="1" applyAlignment="1">
      <alignment horizontal="right" vertical="center"/>
      <protection/>
    </xf>
    <xf numFmtId="210" fontId="12" fillId="47" borderId="20" xfId="290" applyNumberFormat="1" applyFont="1" applyFill="1" applyBorder="1" applyAlignment="1">
      <alignment horizontal="right"/>
      <protection/>
    </xf>
    <xf numFmtId="210" fontId="12" fillId="47" borderId="26" xfId="290" applyNumberFormat="1" applyFont="1" applyFill="1" applyBorder="1" applyAlignment="1">
      <alignment horizontal="right" vertical="center"/>
      <protection/>
    </xf>
    <xf numFmtId="210" fontId="11" fillId="47" borderId="20" xfId="290" applyNumberFormat="1" applyFont="1" applyFill="1" applyBorder="1" applyAlignment="1">
      <alignment horizontal="right"/>
      <protection/>
    </xf>
    <xf numFmtId="210" fontId="10" fillId="47" borderId="20" xfId="290" applyNumberFormat="1" applyFont="1" applyFill="1" applyBorder="1" applyAlignment="1">
      <alignment horizontal="right" vertical="center"/>
      <protection/>
    </xf>
    <xf numFmtId="210" fontId="10" fillId="47" borderId="20" xfId="290" applyNumberFormat="1" applyFont="1" applyFill="1" applyBorder="1" applyAlignment="1">
      <alignment horizontal="center" vertical="center"/>
      <protection/>
    </xf>
    <xf numFmtId="210" fontId="10" fillId="47" borderId="21" xfId="290" applyNumberFormat="1" applyFont="1" applyFill="1" applyBorder="1" applyAlignment="1">
      <alignment horizontal="right" vertical="center"/>
      <protection/>
    </xf>
    <xf numFmtId="210" fontId="10" fillId="47" borderId="21" xfId="290" applyNumberFormat="1" applyFont="1" applyFill="1" applyBorder="1" applyAlignment="1">
      <alignment horizontal="center" vertical="center"/>
      <protection/>
    </xf>
    <xf numFmtId="210" fontId="10" fillId="47" borderId="23" xfId="290" applyNumberFormat="1" applyFont="1" applyFill="1" applyBorder="1" applyAlignment="1">
      <alignment horizontal="right" vertical="center"/>
      <protection/>
    </xf>
    <xf numFmtId="210" fontId="10" fillId="47" borderId="23" xfId="290" applyNumberFormat="1" applyFont="1" applyFill="1" applyBorder="1" applyAlignment="1">
      <alignment horizontal="center" vertical="center"/>
      <protection/>
    </xf>
    <xf numFmtId="210" fontId="10" fillId="47" borderId="21" xfId="290" applyNumberFormat="1" applyFont="1" applyFill="1" applyBorder="1">
      <alignment/>
      <protection/>
    </xf>
    <xf numFmtId="210" fontId="10" fillId="47" borderId="20" xfId="290" applyNumberFormat="1" applyFont="1" applyFill="1" applyBorder="1">
      <alignment/>
      <protection/>
    </xf>
    <xf numFmtId="210" fontId="10" fillId="47" borderId="23" xfId="290" applyNumberFormat="1" applyFont="1" applyFill="1" applyBorder="1">
      <alignment/>
      <protection/>
    </xf>
    <xf numFmtId="210" fontId="10" fillId="47" borderId="26" xfId="290" applyNumberFormat="1" applyFont="1" applyFill="1" applyBorder="1" applyAlignment="1">
      <alignment horizontal="right" vertical="center"/>
      <protection/>
    </xf>
    <xf numFmtId="0" fontId="0" fillId="52" borderId="0" xfId="289" applyNumberFormat="1" applyFont="1" applyFill="1" applyBorder="1" applyAlignment="1">
      <alignment horizontal="left" vertical="top" wrapText="1"/>
      <protection/>
    </xf>
    <xf numFmtId="0" fontId="7" fillId="52" borderId="0" xfId="289" applyNumberFormat="1" applyFont="1" applyFill="1" applyBorder="1" applyAlignment="1">
      <alignment horizontal="left" vertical="top" wrapText="1"/>
      <protection/>
    </xf>
    <xf numFmtId="0" fontId="0" fillId="52" borderId="0" xfId="289" applyNumberFormat="1" applyFont="1" applyFill="1" applyBorder="1" applyAlignment="1">
      <alignment horizontal="justify" vertical="top" wrapText="1"/>
      <protection/>
    </xf>
    <xf numFmtId="0" fontId="0" fillId="52" borderId="0" xfId="289" applyNumberFormat="1" applyFont="1" applyFill="1" applyBorder="1" applyAlignment="1">
      <alignment horizontal="justify" vertical="top"/>
      <protection/>
    </xf>
    <xf numFmtId="0" fontId="0" fillId="52" borderId="0" xfId="289" applyNumberFormat="1" applyFont="1" applyFill="1" applyBorder="1" applyAlignment="1">
      <alignment horizontal="left" wrapText="1"/>
      <protection/>
    </xf>
    <xf numFmtId="0" fontId="0" fillId="52" borderId="0" xfId="289" applyNumberFormat="1" applyFont="1" applyFill="1" applyBorder="1" applyAlignment="1">
      <alignment horizontal="left"/>
      <protection/>
    </xf>
  </cellXfs>
  <cellStyles count="304">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omma" xfId="93"/>
    <cellStyle name="Comma [0]" xfId="94"/>
    <cellStyle name="Comma 2" xfId="95"/>
    <cellStyle name="Comma 2 2" xfId="96"/>
    <cellStyle name="Comma 3" xfId="97"/>
    <cellStyle name="Currency" xfId="98"/>
    <cellStyle name="Currency [0]" xfId="99"/>
    <cellStyle name="Check Cell" xfId="100"/>
    <cellStyle name="Check Cell 2" xfId="101"/>
    <cellStyle name="Check Cell 3" xfId="102"/>
    <cellStyle name="Explanatory Text" xfId="103"/>
    <cellStyle name="Explanatory Text 2" xfId="104"/>
    <cellStyle name="Explanatory Text 3" xfId="105"/>
    <cellStyle name="Followed Hyperlink" xfId="106"/>
    <cellStyle name="Good" xfId="107"/>
    <cellStyle name="Good 2" xfId="108"/>
    <cellStyle name="Good 3" xfId="109"/>
    <cellStyle name="Heading 1" xfId="110"/>
    <cellStyle name="Heading 1 2" xfId="111"/>
    <cellStyle name="Heading 1 3" xfId="112"/>
    <cellStyle name="Heading 2" xfId="113"/>
    <cellStyle name="Heading 2 2" xfId="114"/>
    <cellStyle name="Heading 2 3" xfId="115"/>
    <cellStyle name="Heading 3" xfId="116"/>
    <cellStyle name="Heading 3 2" xfId="117"/>
    <cellStyle name="Heading 3 3" xfId="118"/>
    <cellStyle name="Heading 4" xfId="119"/>
    <cellStyle name="Heading 4 2" xfId="120"/>
    <cellStyle name="Heading 4 3" xfId="121"/>
    <cellStyle name="Hyperlink" xfId="122"/>
    <cellStyle name="Input" xfId="123"/>
    <cellStyle name="Input 2" xfId="124"/>
    <cellStyle name="Input 3" xfId="125"/>
    <cellStyle name="Linked Cell" xfId="126"/>
    <cellStyle name="Linked Cell 2" xfId="127"/>
    <cellStyle name="Linked Cell 3" xfId="128"/>
    <cellStyle name="Neutral" xfId="129"/>
    <cellStyle name="Neutral 2" xfId="130"/>
    <cellStyle name="Neutral 3" xfId="131"/>
    <cellStyle name="Normal 10" xfId="132"/>
    <cellStyle name="Normal 10 10" xfId="133"/>
    <cellStyle name="Normal 10 2" xfId="134"/>
    <cellStyle name="Normal 10 3" xfId="135"/>
    <cellStyle name="Normal 10 4" xfId="136"/>
    <cellStyle name="Normal 10 5" xfId="137"/>
    <cellStyle name="Normal 10 6" xfId="138"/>
    <cellStyle name="Normal 10 7" xfId="139"/>
    <cellStyle name="Normal 10 8" xfId="140"/>
    <cellStyle name="Normal 10 9" xfId="141"/>
    <cellStyle name="Normal 11" xfId="142"/>
    <cellStyle name="Normal 11 2" xfId="143"/>
    <cellStyle name="Normal 11 3" xfId="144"/>
    <cellStyle name="Normal 11 4" xfId="145"/>
    <cellStyle name="Normal 12" xfId="146"/>
    <cellStyle name="Normal 12 2" xfId="147"/>
    <cellStyle name="Normal 13" xfId="148"/>
    <cellStyle name="Normal 13 2" xfId="149"/>
    <cellStyle name="Normal 13 3" xfId="150"/>
    <cellStyle name="Normal 13 4" xfId="151"/>
    <cellStyle name="Normal 13 5" xfId="152"/>
    <cellStyle name="Normal 14" xfId="153"/>
    <cellStyle name="Normal 14 2" xfId="154"/>
    <cellStyle name="Normal 14 3" xfId="155"/>
    <cellStyle name="Normal 15" xfId="156"/>
    <cellStyle name="Normal 16" xfId="157"/>
    <cellStyle name="Normal 17" xfId="158"/>
    <cellStyle name="Normal 18" xfId="159"/>
    <cellStyle name="Normal 19" xfId="160"/>
    <cellStyle name="Normal 2" xfId="161"/>
    <cellStyle name="Normal 2 2" xfId="162"/>
    <cellStyle name="Normal 2 2 2" xfId="163"/>
    <cellStyle name="Normal 2 2 2 2" xfId="164"/>
    <cellStyle name="Normal 2 3" xfId="165"/>
    <cellStyle name="Normal 2_01" xfId="166"/>
    <cellStyle name="Normal 20" xfId="167"/>
    <cellStyle name="Normal 21" xfId="168"/>
    <cellStyle name="Normal 22" xfId="169"/>
    <cellStyle name="Normal 23" xfId="170"/>
    <cellStyle name="Normal 24" xfId="171"/>
    <cellStyle name="Normal 25" xfId="172"/>
    <cellStyle name="Normal 26" xfId="173"/>
    <cellStyle name="Normal 27" xfId="174"/>
    <cellStyle name="Normal 28" xfId="175"/>
    <cellStyle name="Normal 29" xfId="176"/>
    <cellStyle name="Normal 3" xfId="177"/>
    <cellStyle name="Normal 3 2" xfId="178"/>
    <cellStyle name="Normal 3_01" xfId="179"/>
    <cellStyle name="Normal 30" xfId="180"/>
    <cellStyle name="Normal 31" xfId="181"/>
    <cellStyle name="Normal 32" xfId="182"/>
    <cellStyle name="Normal 33" xfId="183"/>
    <cellStyle name="Normal 34" xfId="184"/>
    <cellStyle name="Normal 35" xfId="185"/>
    <cellStyle name="Normal 36" xfId="186"/>
    <cellStyle name="Normal 37" xfId="187"/>
    <cellStyle name="Normal 38" xfId="188"/>
    <cellStyle name="Normal 39" xfId="189"/>
    <cellStyle name="Normal 4" xfId="190"/>
    <cellStyle name="Normal 4 2" xfId="191"/>
    <cellStyle name="Normal 4_01" xfId="192"/>
    <cellStyle name="Normal 40" xfId="193"/>
    <cellStyle name="Normal 41" xfId="194"/>
    <cellStyle name="Normal 42" xfId="195"/>
    <cellStyle name="Normal 43" xfId="196"/>
    <cellStyle name="Normal 44" xfId="197"/>
    <cellStyle name="Normal 45" xfId="198"/>
    <cellStyle name="Normal 46" xfId="199"/>
    <cellStyle name="Normal 47" xfId="200"/>
    <cellStyle name="Normal 48" xfId="201"/>
    <cellStyle name="Normal 49" xfId="202"/>
    <cellStyle name="Normal 5" xfId="203"/>
    <cellStyle name="Normal 5 10" xfId="204"/>
    <cellStyle name="Normal 5 11" xfId="205"/>
    <cellStyle name="Normal 5 12" xfId="206"/>
    <cellStyle name="Normal 5 13" xfId="207"/>
    <cellStyle name="Normal 5 14" xfId="208"/>
    <cellStyle name="Normal 5 15" xfId="209"/>
    <cellStyle name="Normal 5 16" xfId="210"/>
    <cellStyle name="Normal 5 17" xfId="211"/>
    <cellStyle name="Normal 5 18" xfId="212"/>
    <cellStyle name="Normal 5 19" xfId="213"/>
    <cellStyle name="Normal 5 2" xfId="214"/>
    <cellStyle name="Normal 5 20" xfId="215"/>
    <cellStyle name="Normal 5 3" xfId="216"/>
    <cellStyle name="Normal 5 4" xfId="217"/>
    <cellStyle name="Normal 5 5" xfId="218"/>
    <cellStyle name="Normal 5 6" xfId="219"/>
    <cellStyle name="Normal 5 7" xfId="220"/>
    <cellStyle name="Normal 5 8" xfId="221"/>
    <cellStyle name="Normal 5 9" xfId="222"/>
    <cellStyle name="Normal 50" xfId="223"/>
    <cellStyle name="Normal 6" xfId="224"/>
    <cellStyle name="Normal 6 10" xfId="225"/>
    <cellStyle name="Normal 6 11" xfId="226"/>
    <cellStyle name="Normal 6 12" xfId="227"/>
    <cellStyle name="Normal 6 13" xfId="228"/>
    <cellStyle name="Normal 6 14" xfId="229"/>
    <cellStyle name="Normal 6 15" xfId="230"/>
    <cellStyle name="Normal 6 16" xfId="231"/>
    <cellStyle name="Normal 6 17" xfId="232"/>
    <cellStyle name="Normal 6 18" xfId="233"/>
    <cellStyle name="Normal 6 2" xfId="234"/>
    <cellStyle name="Normal 6 3" xfId="235"/>
    <cellStyle name="Normal 6 4" xfId="236"/>
    <cellStyle name="Normal 6 5" xfId="237"/>
    <cellStyle name="Normal 6 6" xfId="238"/>
    <cellStyle name="Normal 6 7" xfId="239"/>
    <cellStyle name="Normal 6 8" xfId="240"/>
    <cellStyle name="Normal 6 9" xfId="241"/>
    <cellStyle name="Normal 7" xfId="242"/>
    <cellStyle name="Normal 7 10" xfId="243"/>
    <cellStyle name="Normal 7 11" xfId="244"/>
    <cellStyle name="Normal 7 12" xfId="245"/>
    <cellStyle name="Normal 7 13" xfId="246"/>
    <cellStyle name="Normal 7 14" xfId="247"/>
    <cellStyle name="Normal 7 15" xfId="248"/>
    <cellStyle name="Normal 7 16" xfId="249"/>
    <cellStyle name="Normal 7 2" xfId="250"/>
    <cellStyle name="Normal 7 3" xfId="251"/>
    <cellStyle name="Normal 7 4" xfId="252"/>
    <cellStyle name="Normal 7 5" xfId="253"/>
    <cellStyle name="Normal 7 6" xfId="254"/>
    <cellStyle name="Normal 7 7" xfId="255"/>
    <cellStyle name="Normal 7 8" xfId="256"/>
    <cellStyle name="Normal 7 9" xfId="257"/>
    <cellStyle name="Normal 8" xfId="258"/>
    <cellStyle name="Normal 8 10" xfId="259"/>
    <cellStyle name="Normal 8 11" xfId="260"/>
    <cellStyle name="Normal 8 12" xfId="261"/>
    <cellStyle name="Normal 8 13" xfId="262"/>
    <cellStyle name="Normal 8 14" xfId="263"/>
    <cellStyle name="Normal 8 2" xfId="264"/>
    <cellStyle name="Normal 8 3" xfId="265"/>
    <cellStyle name="Normal 8 4" xfId="266"/>
    <cellStyle name="Normal 8 5" xfId="267"/>
    <cellStyle name="Normal 8 6" xfId="268"/>
    <cellStyle name="Normal 8 7" xfId="269"/>
    <cellStyle name="Normal 8 8" xfId="270"/>
    <cellStyle name="Normal 8 9" xfId="271"/>
    <cellStyle name="Normal 9" xfId="272"/>
    <cellStyle name="Normal 9 10" xfId="273"/>
    <cellStyle name="Normal 9 11" xfId="274"/>
    <cellStyle name="Normal 9 12" xfId="275"/>
    <cellStyle name="Normal 9 2" xfId="276"/>
    <cellStyle name="Normal 9 3" xfId="277"/>
    <cellStyle name="Normal 9 4" xfId="278"/>
    <cellStyle name="Normal 9 5" xfId="279"/>
    <cellStyle name="Normal 9 6" xfId="280"/>
    <cellStyle name="Normal 9 7" xfId="281"/>
    <cellStyle name="Normal 9 8" xfId="282"/>
    <cellStyle name="Normal 9 9" xfId="283"/>
    <cellStyle name="Normal_1. (Goc) THONG KE TT01 Toàn tỉnh Hoa Binh 6 tháng 2013" xfId="284"/>
    <cellStyle name="Normal_19 bieu m nhapcong thuc da sao 11 don vi " xfId="285"/>
    <cellStyle name="Normal_19 bieu m nhapcong thuc da sao 11 don vi  2" xfId="286"/>
    <cellStyle name="Normal_Bieu 8 - Bieu 19 toan tinh" xfId="287"/>
    <cellStyle name="Normal_Bieu mau TK tu 11 den 19 (ban phat hanh)" xfId="288"/>
    <cellStyle name="Normal_Bieu mau TK tu 11 den 19 (ban phat hanh) 2" xfId="289"/>
    <cellStyle name="Normal_Sheet1" xfId="290"/>
    <cellStyle name="Normal_Sheet2" xfId="291"/>
    <cellStyle name="Note" xfId="292"/>
    <cellStyle name="Note 2" xfId="293"/>
    <cellStyle name="Note 3" xfId="294"/>
    <cellStyle name="Output" xfId="295"/>
    <cellStyle name="Output 2" xfId="296"/>
    <cellStyle name="Output 3" xfId="297"/>
    <cellStyle name="Percent" xfId="298"/>
    <cellStyle name="Percent 10" xfId="299"/>
    <cellStyle name="Percent 11" xfId="300"/>
    <cellStyle name="Percent 13" xfId="301"/>
    <cellStyle name="Percent 14" xfId="302"/>
    <cellStyle name="Percent 2" xfId="303"/>
    <cellStyle name="Percent 2 2" xfId="304"/>
    <cellStyle name="Percent 2 2 2" xfId="305"/>
    <cellStyle name="Percent 2 2 2 2" xfId="306"/>
    <cellStyle name="Percent 3" xfId="307"/>
    <cellStyle name="Percent 4" xfId="308"/>
    <cellStyle name="Title" xfId="309"/>
    <cellStyle name="Title 2" xfId="310"/>
    <cellStyle name="Title 3" xfId="311"/>
    <cellStyle name="Total" xfId="312"/>
    <cellStyle name="Total 2" xfId="313"/>
    <cellStyle name="Total 3" xfId="314"/>
    <cellStyle name="Warning Text" xfId="315"/>
    <cellStyle name="Warning Text 2" xfId="316"/>
    <cellStyle name="Warning Text 3" xfId="317"/>
  </cellStyles>
  <dxfs count="4">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externalLink" Target="externalLinks/externalLink7.xml" /><Relationship Id="rId45" Type="http://schemas.openxmlformats.org/officeDocument/2006/relationships/externalLink" Target="externalLinks/externalLink8.xml" /><Relationship Id="rId46" Type="http://schemas.openxmlformats.org/officeDocument/2006/relationships/externalLink" Target="externalLinks/externalLink9.xml" /><Relationship Id="rId47" Type="http://schemas.openxmlformats.org/officeDocument/2006/relationships/externalLink" Target="externalLinks/externalLink10.xml" /><Relationship Id="rId4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6668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6668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105025" y="2286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2105025" y="228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2105025" y="2286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038350" y="2667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2038350" y="2667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2038350" y="2667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047875" y="24765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2047875" y="2476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2047875" y="2476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2105025" y="20955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2105025" y="2095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2105025" y="2095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29</xdr:row>
      <xdr:rowOff>123825</xdr:rowOff>
    </xdr:from>
    <xdr:ext cx="85725" cy="314325"/>
    <xdr:sp fLocksText="0">
      <xdr:nvSpPr>
        <xdr:cNvPr id="1" name="Text Box 1"/>
        <xdr:cNvSpPr txBox="1">
          <a:spLocks noChangeArrowheads="1"/>
        </xdr:cNvSpPr>
      </xdr:nvSpPr>
      <xdr:spPr>
        <a:xfrm>
          <a:off x="409575" y="7800975"/>
          <a:ext cx="85725" cy="3143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xdr:colOff>
      <xdr:row>0</xdr:row>
      <xdr:rowOff>0</xdr:rowOff>
    </xdr:to>
    <xdr:sp>
      <xdr:nvSpPr>
        <xdr:cNvPr id="1" name="Line 5"/>
        <xdr:cNvSpPr>
          <a:spLocks/>
        </xdr:cNvSpPr>
      </xdr:nvSpPr>
      <xdr:spPr>
        <a:xfrm>
          <a:off x="333375" y="0"/>
          <a:ext cx="2000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1</xdr:col>
      <xdr:colOff>1152525</xdr:colOff>
      <xdr:row>2</xdr:row>
      <xdr:rowOff>0</xdr:rowOff>
    </xdr:from>
    <xdr:ext cx="95250" cy="257175"/>
    <xdr:sp fLocksText="0">
      <xdr:nvSpPr>
        <xdr:cNvPr id="2" name="Text Box 7"/>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3"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§èi t­îng 
</a:t>
          </a:r>
          <a:r>
            <a:rPr lang="en-US" cap="none" sz="900" b="0" i="0" u="none" baseline="0">
              <a:solidFill>
                <a:srgbClr val="000000"/>
              </a:solidFill>
              <a:latin typeface=".VnHelvetInsH"/>
              <a:ea typeface=".VnHelvetInsH"/>
              <a:cs typeface=".VnHelvetInsH"/>
            </a:rPr>
            <a:t>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4"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fLocksText="0">
      <xdr:nvSpPr>
        <xdr:cNvPr id="5" name="Text Box 11"/>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6"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7"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8"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9"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0"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1"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2"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3"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4"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5"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6"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7"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8"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19"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0"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1"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2"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3"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4"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5"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6"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7"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8" name="Text Box 7"/>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66700"/>
    <xdr:sp fLocksText="0">
      <xdr:nvSpPr>
        <xdr:cNvPr id="29" name="Text Box 11"/>
        <xdr:cNvSpPr txBox="1">
          <a:spLocks noChangeArrowheads="1"/>
        </xdr:cNvSpPr>
      </xdr:nvSpPr>
      <xdr:spPr>
        <a:xfrm>
          <a:off x="1466850" y="7181850"/>
          <a:ext cx="95250" cy="2667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39</xdr:row>
      <xdr:rowOff>0</xdr:rowOff>
    </xdr:from>
    <xdr:ext cx="85725" cy="0"/>
    <xdr:sp fLocksText="0">
      <xdr:nvSpPr>
        <xdr:cNvPr id="1" name="Text Box 1"/>
        <xdr:cNvSpPr txBox="1">
          <a:spLocks noChangeArrowheads="1"/>
        </xdr:cNvSpPr>
      </xdr:nvSpPr>
      <xdr:spPr>
        <a:xfrm>
          <a:off x="352425" y="9677400"/>
          <a:ext cx="85725"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61950"/>
    <xdr:sp fLocksText="0">
      <xdr:nvSpPr>
        <xdr:cNvPr id="1" name="Text Box 7"/>
        <xdr:cNvSpPr txBox="1">
          <a:spLocks noChangeArrowheads="1"/>
        </xdr:cNvSpPr>
      </xdr:nvSpPr>
      <xdr:spPr>
        <a:xfrm>
          <a:off x="314325" y="720090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2" name="Text Box 1"/>
        <xdr:cNvSpPr txBox="1">
          <a:spLocks noChangeArrowheads="1"/>
        </xdr:cNvSpPr>
      </xdr:nvSpPr>
      <xdr:spPr>
        <a:xfrm>
          <a:off x="314325" y="720090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3" name="Text Box 1"/>
        <xdr:cNvSpPr txBox="1">
          <a:spLocks noChangeArrowheads="1"/>
        </xdr:cNvSpPr>
      </xdr:nvSpPr>
      <xdr:spPr>
        <a:xfrm>
          <a:off x="314325" y="720090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4" name="Text Box 1"/>
        <xdr:cNvSpPr txBox="1">
          <a:spLocks noChangeArrowheads="1"/>
        </xdr:cNvSpPr>
      </xdr:nvSpPr>
      <xdr:spPr>
        <a:xfrm>
          <a:off x="314325" y="720090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5" name="Text Box 1"/>
        <xdr:cNvSpPr txBox="1">
          <a:spLocks noChangeArrowheads="1"/>
        </xdr:cNvSpPr>
      </xdr:nvSpPr>
      <xdr:spPr>
        <a:xfrm>
          <a:off x="314325" y="720090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6" name="Text Box 7"/>
        <xdr:cNvSpPr txBox="1">
          <a:spLocks noChangeArrowheads="1"/>
        </xdr:cNvSpPr>
      </xdr:nvSpPr>
      <xdr:spPr>
        <a:xfrm>
          <a:off x="314325" y="720090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7" name="Text Box 1"/>
        <xdr:cNvSpPr txBox="1">
          <a:spLocks noChangeArrowheads="1"/>
        </xdr:cNvSpPr>
      </xdr:nvSpPr>
      <xdr:spPr>
        <a:xfrm>
          <a:off x="314325" y="720090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8" name="Text Box 1"/>
        <xdr:cNvSpPr txBox="1">
          <a:spLocks noChangeArrowheads="1"/>
        </xdr:cNvSpPr>
      </xdr:nvSpPr>
      <xdr:spPr>
        <a:xfrm>
          <a:off x="314325" y="720090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9" name="Text Box 7"/>
        <xdr:cNvSpPr txBox="1">
          <a:spLocks noChangeArrowheads="1"/>
        </xdr:cNvSpPr>
      </xdr:nvSpPr>
      <xdr:spPr>
        <a:xfrm>
          <a:off x="314325" y="720090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10" name="Text Box 1"/>
        <xdr:cNvSpPr txBox="1">
          <a:spLocks noChangeArrowheads="1"/>
        </xdr:cNvSpPr>
      </xdr:nvSpPr>
      <xdr:spPr>
        <a:xfrm>
          <a:off x="314325" y="720090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11" name="Text Box 1"/>
        <xdr:cNvSpPr txBox="1">
          <a:spLocks noChangeArrowheads="1"/>
        </xdr:cNvSpPr>
      </xdr:nvSpPr>
      <xdr:spPr>
        <a:xfrm>
          <a:off x="314325" y="720090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12" name="Text Box 7"/>
        <xdr:cNvSpPr txBox="1">
          <a:spLocks noChangeArrowheads="1"/>
        </xdr:cNvSpPr>
      </xdr:nvSpPr>
      <xdr:spPr>
        <a:xfrm>
          <a:off x="314325" y="720090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13" name="Text Box 1"/>
        <xdr:cNvSpPr txBox="1">
          <a:spLocks noChangeArrowheads="1"/>
        </xdr:cNvSpPr>
      </xdr:nvSpPr>
      <xdr:spPr>
        <a:xfrm>
          <a:off x="314325" y="720090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14" name="Text Box 1"/>
        <xdr:cNvSpPr txBox="1">
          <a:spLocks noChangeArrowheads="1"/>
        </xdr:cNvSpPr>
      </xdr:nvSpPr>
      <xdr:spPr>
        <a:xfrm>
          <a:off x="314325" y="720090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15" name="Text Box 7"/>
        <xdr:cNvSpPr txBox="1">
          <a:spLocks noChangeArrowheads="1"/>
        </xdr:cNvSpPr>
      </xdr:nvSpPr>
      <xdr:spPr>
        <a:xfrm>
          <a:off x="314325" y="720090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16" name="Text Box 1"/>
        <xdr:cNvSpPr txBox="1">
          <a:spLocks noChangeArrowheads="1"/>
        </xdr:cNvSpPr>
      </xdr:nvSpPr>
      <xdr:spPr>
        <a:xfrm>
          <a:off x="314325" y="720090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17" name="Text Box 1"/>
        <xdr:cNvSpPr txBox="1">
          <a:spLocks noChangeArrowheads="1"/>
        </xdr:cNvSpPr>
      </xdr:nvSpPr>
      <xdr:spPr>
        <a:xfrm>
          <a:off x="314325" y="720090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18" name="Text Box 7"/>
        <xdr:cNvSpPr txBox="1">
          <a:spLocks noChangeArrowheads="1"/>
        </xdr:cNvSpPr>
      </xdr:nvSpPr>
      <xdr:spPr>
        <a:xfrm>
          <a:off x="314325" y="720090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19" name="Text Box 1"/>
        <xdr:cNvSpPr txBox="1">
          <a:spLocks noChangeArrowheads="1"/>
        </xdr:cNvSpPr>
      </xdr:nvSpPr>
      <xdr:spPr>
        <a:xfrm>
          <a:off x="314325" y="720090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20" name="Text Box 1"/>
        <xdr:cNvSpPr txBox="1">
          <a:spLocks noChangeArrowheads="1"/>
        </xdr:cNvSpPr>
      </xdr:nvSpPr>
      <xdr:spPr>
        <a:xfrm>
          <a:off x="314325" y="720090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21" name="Text Box 7"/>
        <xdr:cNvSpPr txBox="1">
          <a:spLocks noChangeArrowheads="1"/>
        </xdr:cNvSpPr>
      </xdr:nvSpPr>
      <xdr:spPr>
        <a:xfrm>
          <a:off x="314325" y="720090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22" name="Text Box 1"/>
        <xdr:cNvSpPr txBox="1">
          <a:spLocks noChangeArrowheads="1"/>
        </xdr:cNvSpPr>
      </xdr:nvSpPr>
      <xdr:spPr>
        <a:xfrm>
          <a:off x="314325" y="720090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23" name="Text Box 1"/>
        <xdr:cNvSpPr txBox="1">
          <a:spLocks noChangeArrowheads="1"/>
        </xdr:cNvSpPr>
      </xdr:nvSpPr>
      <xdr:spPr>
        <a:xfrm>
          <a:off x="314325" y="720090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24" name="Text Box 7"/>
        <xdr:cNvSpPr txBox="1">
          <a:spLocks noChangeArrowheads="1"/>
        </xdr:cNvSpPr>
      </xdr:nvSpPr>
      <xdr:spPr>
        <a:xfrm>
          <a:off x="314325" y="720090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25" name="Text Box 1"/>
        <xdr:cNvSpPr txBox="1">
          <a:spLocks noChangeArrowheads="1"/>
        </xdr:cNvSpPr>
      </xdr:nvSpPr>
      <xdr:spPr>
        <a:xfrm>
          <a:off x="314325" y="720090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26" name="Text Box 1"/>
        <xdr:cNvSpPr txBox="1">
          <a:spLocks noChangeArrowheads="1"/>
        </xdr:cNvSpPr>
      </xdr:nvSpPr>
      <xdr:spPr>
        <a:xfrm>
          <a:off x="314325" y="720090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27" name="Text Box 7"/>
        <xdr:cNvSpPr txBox="1">
          <a:spLocks noChangeArrowheads="1"/>
        </xdr:cNvSpPr>
      </xdr:nvSpPr>
      <xdr:spPr>
        <a:xfrm>
          <a:off x="314325" y="720090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28" name="Text Box 1"/>
        <xdr:cNvSpPr txBox="1">
          <a:spLocks noChangeArrowheads="1"/>
        </xdr:cNvSpPr>
      </xdr:nvSpPr>
      <xdr:spPr>
        <a:xfrm>
          <a:off x="314325" y="720090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29" name="Text Box 1"/>
        <xdr:cNvSpPr txBox="1">
          <a:spLocks noChangeArrowheads="1"/>
        </xdr:cNvSpPr>
      </xdr:nvSpPr>
      <xdr:spPr>
        <a:xfrm>
          <a:off x="314325" y="720090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30" name="Text Box 7"/>
        <xdr:cNvSpPr txBox="1">
          <a:spLocks noChangeArrowheads="1"/>
        </xdr:cNvSpPr>
      </xdr:nvSpPr>
      <xdr:spPr>
        <a:xfrm>
          <a:off x="314325" y="720090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31" name="Text Box 1"/>
        <xdr:cNvSpPr txBox="1">
          <a:spLocks noChangeArrowheads="1"/>
        </xdr:cNvSpPr>
      </xdr:nvSpPr>
      <xdr:spPr>
        <a:xfrm>
          <a:off x="314325" y="720090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32" name="Text Box 1"/>
        <xdr:cNvSpPr txBox="1">
          <a:spLocks noChangeArrowheads="1"/>
        </xdr:cNvSpPr>
      </xdr:nvSpPr>
      <xdr:spPr>
        <a:xfrm>
          <a:off x="314325" y="720090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33" name="Text Box 7"/>
        <xdr:cNvSpPr txBox="1">
          <a:spLocks noChangeArrowheads="1"/>
        </xdr:cNvSpPr>
      </xdr:nvSpPr>
      <xdr:spPr>
        <a:xfrm>
          <a:off x="314325" y="720090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34" name="Text Box 1"/>
        <xdr:cNvSpPr txBox="1">
          <a:spLocks noChangeArrowheads="1"/>
        </xdr:cNvSpPr>
      </xdr:nvSpPr>
      <xdr:spPr>
        <a:xfrm>
          <a:off x="314325" y="720090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35" name="Text Box 1"/>
        <xdr:cNvSpPr txBox="1">
          <a:spLocks noChangeArrowheads="1"/>
        </xdr:cNvSpPr>
      </xdr:nvSpPr>
      <xdr:spPr>
        <a:xfrm>
          <a:off x="314325" y="720090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61950"/>
    <xdr:sp fLocksText="0">
      <xdr:nvSpPr>
        <xdr:cNvPr id="36" name="Text Box 7"/>
        <xdr:cNvSpPr txBox="1">
          <a:spLocks noChangeArrowheads="1"/>
        </xdr:cNvSpPr>
      </xdr:nvSpPr>
      <xdr:spPr>
        <a:xfrm>
          <a:off x="314325" y="720090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14300"/>
    <xdr:sp fLocksText="0">
      <xdr:nvSpPr>
        <xdr:cNvPr id="37" name="Text Box 1"/>
        <xdr:cNvSpPr txBox="1">
          <a:spLocks noChangeArrowheads="1"/>
        </xdr:cNvSpPr>
      </xdr:nvSpPr>
      <xdr:spPr>
        <a:xfrm>
          <a:off x="314325" y="720090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9550"/>
    <xdr:sp fLocksText="0">
      <xdr:nvSpPr>
        <xdr:cNvPr id="38" name="Text Box 1"/>
        <xdr:cNvSpPr txBox="1">
          <a:spLocks noChangeArrowheads="1"/>
        </xdr:cNvSpPr>
      </xdr:nvSpPr>
      <xdr:spPr>
        <a:xfrm>
          <a:off x="314325" y="720090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361950"/>
    <xdr:sp fLocksText="0">
      <xdr:nvSpPr>
        <xdr:cNvPr id="39" name="Text Box 7"/>
        <xdr:cNvSpPr txBox="1">
          <a:spLocks noChangeArrowheads="1"/>
        </xdr:cNvSpPr>
      </xdr:nvSpPr>
      <xdr:spPr>
        <a:xfrm>
          <a:off x="314325" y="7400925"/>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114300"/>
    <xdr:sp fLocksText="0">
      <xdr:nvSpPr>
        <xdr:cNvPr id="40" name="Text Box 1"/>
        <xdr:cNvSpPr txBox="1">
          <a:spLocks noChangeArrowheads="1"/>
        </xdr:cNvSpPr>
      </xdr:nvSpPr>
      <xdr:spPr>
        <a:xfrm>
          <a:off x="314325" y="7400925"/>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209550"/>
    <xdr:sp fLocksText="0">
      <xdr:nvSpPr>
        <xdr:cNvPr id="41" name="Text Box 1"/>
        <xdr:cNvSpPr txBox="1">
          <a:spLocks noChangeArrowheads="1"/>
        </xdr:cNvSpPr>
      </xdr:nvSpPr>
      <xdr:spPr>
        <a:xfrm>
          <a:off x="314325" y="7400925"/>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fLocksText="0">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2"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3"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4"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5"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6"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7"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8"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9"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0"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1"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2"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3"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1457325</xdr:colOff>
      <xdr:row>0</xdr:row>
      <xdr:rowOff>0</xdr:rowOff>
    </xdr:to>
    <xdr:sp>
      <xdr:nvSpPr>
        <xdr:cNvPr id="1" name="Line 1"/>
        <xdr:cNvSpPr>
          <a:spLocks/>
        </xdr:cNvSpPr>
      </xdr:nvSpPr>
      <xdr:spPr>
        <a:xfrm>
          <a:off x="371475" y="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28575</xdr:colOff>
      <xdr:row>0</xdr:row>
      <xdr:rowOff>0</xdr:rowOff>
    </xdr:from>
    <xdr:to>
      <xdr:col>1</xdr:col>
      <xdr:colOff>1047750</xdr:colOff>
      <xdr:row>0</xdr:row>
      <xdr:rowOff>0</xdr:rowOff>
    </xdr:to>
    <xdr:sp>
      <xdr:nvSpPr>
        <xdr:cNvPr id="2"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431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9431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0.vml" /><Relationship Id="rId3" Type="http://schemas.openxmlformats.org/officeDocument/2006/relationships/drawing" Target="../drawings/drawing13.xml" /><Relationship Id="rId4"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2" customWidth="1"/>
    <col min="2" max="2" width="26.00390625" style="2" customWidth="1"/>
    <col min="3" max="3" width="16.625" style="2" customWidth="1"/>
    <col min="4" max="4" width="20.25390625" style="2" customWidth="1"/>
    <col min="5" max="5" width="12.625" style="2" customWidth="1"/>
    <col min="6" max="6" width="15.25390625" style="2" customWidth="1"/>
    <col min="7" max="7" width="12.375" style="2" customWidth="1"/>
    <col min="8" max="8" width="15.00390625" style="2" customWidth="1"/>
    <col min="9" max="16384" width="9.00390625" style="2" customWidth="1"/>
  </cols>
  <sheetData>
    <row r="1" spans="1:8" ht="19.5" customHeight="1">
      <c r="A1" s="1163" t="s">
        <v>28</v>
      </c>
      <c r="B1" s="1163"/>
      <c r="C1" s="1162" t="s">
        <v>91</v>
      </c>
      <c r="D1" s="1162"/>
      <c r="E1" s="1162"/>
      <c r="F1" s="1164" t="s">
        <v>87</v>
      </c>
      <c r="G1" s="1164"/>
      <c r="H1" s="1164"/>
    </row>
    <row r="2" spans="1:8" ht="33.75" customHeight="1">
      <c r="A2" s="1165" t="s">
        <v>95</v>
      </c>
      <c r="B2" s="1165"/>
      <c r="C2" s="1162"/>
      <c r="D2" s="1162"/>
      <c r="E2" s="1162"/>
      <c r="F2" s="1161" t="s">
        <v>88</v>
      </c>
      <c r="G2" s="1161"/>
      <c r="H2" s="1161"/>
    </row>
    <row r="3" spans="1:8" ht="19.5" customHeight="1">
      <c r="A3" s="9" t="s">
        <v>81</v>
      </c>
      <c r="B3" s="9"/>
      <c r="C3" s="27"/>
      <c r="D3" s="27"/>
      <c r="E3" s="27"/>
      <c r="F3" s="1161" t="s">
        <v>89</v>
      </c>
      <c r="G3" s="1161"/>
      <c r="H3" s="1161"/>
    </row>
    <row r="4" spans="1:8" s="10" customFormat="1" ht="19.5" customHeight="1">
      <c r="A4" s="9"/>
      <c r="B4" s="9"/>
      <c r="D4" s="11"/>
      <c r="F4" s="12" t="s">
        <v>90</v>
      </c>
      <c r="G4" s="12"/>
      <c r="H4" s="12"/>
    </row>
    <row r="5" spans="1:8" s="26" customFormat="1" ht="36" customHeight="1">
      <c r="A5" s="1143" t="s">
        <v>72</v>
      </c>
      <c r="B5" s="1144"/>
      <c r="C5" s="1147" t="s">
        <v>85</v>
      </c>
      <c r="D5" s="1148"/>
      <c r="E5" s="1149" t="s">
        <v>84</v>
      </c>
      <c r="F5" s="1149"/>
      <c r="G5" s="1149"/>
      <c r="H5" s="1150"/>
    </row>
    <row r="6" spans="1:8" s="26" customFormat="1" ht="20.25" customHeight="1">
      <c r="A6" s="1145"/>
      <c r="B6" s="1146"/>
      <c r="C6" s="1151" t="s">
        <v>3</v>
      </c>
      <c r="D6" s="1151" t="s">
        <v>92</v>
      </c>
      <c r="E6" s="1153" t="s">
        <v>86</v>
      </c>
      <c r="F6" s="1150"/>
      <c r="G6" s="1153" t="s">
        <v>93</v>
      </c>
      <c r="H6" s="1150"/>
    </row>
    <row r="7" spans="1:8" s="26" customFormat="1" ht="52.5" customHeight="1">
      <c r="A7" s="1145"/>
      <c r="B7" s="1146"/>
      <c r="C7" s="1152"/>
      <c r="D7" s="1152"/>
      <c r="E7" s="8" t="s">
        <v>3</v>
      </c>
      <c r="F7" s="8" t="s">
        <v>10</v>
      </c>
      <c r="G7" s="8" t="s">
        <v>3</v>
      </c>
      <c r="H7" s="8" t="s">
        <v>10</v>
      </c>
    </row>
    <row r="8" spans="1:8" ht="15" customHeight="1">
      <c r="A8" s="1155" t="s">
        <v>6</v>
      </c>
      <c r="B8" s="1156"/>
      <c r="C8" s="13">
        <v>1</v>
      </c>
      <c r="D8" s="13" t="s">
        <v>53</v>
      </c>
      <c r="E8" s="13" t="s">
        <v>58</v>
      </c>
      <c r="F8" s="13" t="s">
        <v>73</v>
      </c>
      <c r="G8" s="13" t="s">
        <v>74</v>
      </c>
      <c r="H8" s="13" t="s">
        <v>75</v>
      </c>
    </row>
    <row r="9" spans="1:8" ht="26.25" customHeight="1">
      <c r="A9" s="1157" t="s">
        <v>41</v>
      </c>
      <c r="B9" s="1158"/>
      <c r="C9" s="13"/>
      <c r="D9" s="13"/>
      <c r="E9" s="13"/>
      <c r="F9" s="13"/>
      <c r="G9" s="13"/>
      <c r="H9" s="13"/>
    </row>
    <row r="10" spans="1:8" ht="24.75" customHeight="1">
      <c r="A10" s="14" t="s">
        <v>0</v>
      </c>
      <c r="B10" s="15" t="s">
        <v>12</v>
      </c>
      <c r="C10" s="7"/>
      <c r="D10" s="16"/>
      <c r="E10" s="16"/>
      <c r="F10" s="16"/>
      <c r="G10" s="16"/>
      <c r="H10" s="16"/>
    </row>
    <row r="11" spans="1:8" ht="24.75" customHeight="1">
      <c r="A11" s="17" t="s">
        <v>1</v>
      </c>
      <c r="B11" s="18" t="s">
        <v>13</v>
      </c>
      <c r="C11" s="7"/>
      <c r="D11" s="16"/>
      <c r="E11" s="16"/>
      <c r="F11" s="16"/>
      <c r="G11" s="16"/>
      <c r="H11" s="16"/>
    </row>
    <row r="12" spans="1:8" ht="24.75" customHeight="1">
      <c r="A12" s="19" t="s">
        <v>52</v>
      </c>
      <c r="B12" s="7" t="s">
        <v>14</v>
      </c>
      <c r="C12" s="7"/>
      <c r="D12" s="16"/>
      <c r="E12" s="16"/>
      <c r="F12" s="16"/>
      <c r="G12" s="16"/>
      <c r="H12" s="16"/>
    </row>
    <row r="13" spans="1:8" ht="24.75" customHeight="1">
      <c r="A13" s="19" t="s">
        <v>53</v>
      </c>
      <c r="B13" s="7" t="s">
        <v>14</v>
      </c>
      <c r="C13" s="7"/>
      <c r="D13" s="16"/>
      <c r="E13" s="16"/>
      <c r="F13" s="16"/>
      <c r="G13" s="16"/>
      <c r="H13" s="16"/>
    </row>
    <row r="14" spans="1:8" ht="24.75" customHeight="1">
      <c r="A14" s="19" t="s">
        <v>58</v>
      </c>
      <c r="B14" s="7" t="s">
        <v>14</v>
      </c>
      <c r="C14" s="7"/>
      <c r="D14" s="16"/>
      <c r="E14" s="16"/>
      <c r="F14" s="16"/>
      <c r="G14" s="16"/>
      <c r="H14" s="16"/>
    </row>
    <row r="15" spans="1:8" ht="24.75" customHeight="1">
      <c r="A15" s="19" t="s">
        <v>20</v>
      </c>
      <c r="B15" s="28" t="s">
        <v>20</v>
      </c>
      <c r="C15" s="20"/>
      <c r="D15" s="21"/>
      <c r="E15" s="21"/>
      <c r="F15" s="21"/>
      <c r="G15" s="21"/>
      <c r="H15" s="21"/>
    </row>
    <row r="16" spans="2:8" ht="16.5" customHeight="1">
      <c r="B16" s="1159" t="s">
        <v>68</v>
      </c>
      <c r="C16" s="1159"/>
      <c r="D16" s="29"/>
      <c r="E16" s="1140" t="s">
        <v>21</v>
      </c>
      <c r="F16" s="1140"/>
      <c r="G16" s="1140"/>
      <c r="H16" s="1140"/>
    </row>
    <row r="17" spans="2:8" ht="15.75" customHeight="1">
      <c r="B17" s="1159"/>
      <c r="C17" s="1159"/>
      <c r="D17" s="29"/>
      <c r="E17" s="1141" t="s">
        <v>46</v>
      </c>
      <c r="F17" s="1141"/>
      <c r="G17" s="1141"/>
      <c r="H17" s="1141"/>
    </row>
    <row r="18" spans="2:8" s="30" customFormat="1" ht="15.75" customHeight="1">
      <c r="B18" s="1159"/>
      <c r="C18" s="1159"/>
      <c r="D18" s="31"/>
      <c r="E18" s="1142" t="s">
        <v>67</v>
      </c>
      <c r="F18" s="1142"/>
      <c r="G18" s="1142"/>
      <c r="H18" s="1142"/>
    </row>
    <row r="20" ht="15.75">
      <c r="B20" s="22"/>
    </row>
    <row r="22" ht="15.75" hidden="1">
      <c r="A22" s="23" t="s">
        <v>49</v>
      </c>
    </row>
    <row r="23" spans="1:3" ht="15.75" hidden="1">
      <c r="A23" s="24"/>
      <c r="B23" s="1160" t="s">
        <v>59</v>
      </c>
      <c r="C23" s="1160"/>
    </row>
    <row r="24" spans="1:8" ht="15.75" customHeight="1" hidden="1">
      <c r="A24" s="25" t="s">
        <v>27</v>
      </c>
      <c r="B24" s="1154" t="s">
        <v>63</v>
      </c>
      <c r="C24" s="1154"/>
      <c r="D24" s="25"/>
      <c r="E24" s="25"/>
      <c r="F24" s="25"/>
      <c r="G24" s="25"/>
      <c r="H24" s="25"/>
    </row>
    <row r="25" spans="1:8" ht="15" customHeight="1" hidden="1">
      <c r="A25" s="25"/>
      <c r="B25" s="1154" t="s">
        <v>66</v>
      </c>
      <c r="C25" s="1154"/>
      <c r="D25" s="1154"/>
      <c r="E25" s="25"/>
      <c r="F25" s="25"/>
      <c r="G25" s="25"/>
      <c r="H25" s="25"/>
    </row>
    <row r="26" spans="2:3" ht="15.75">
      <c r="B26" s="26"/>
      <c r="C26" s="26"/>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44" customWidth="1"/>
    <col min="2" max="2" width="23.625" style="332" customWidth="1"/>
    <col min="3" max="3" width="9.25390625" style="332" customWidth="1"/>
    <col min="4" max="4" width="15.375" style="332" customWidth="1"/>
    <col min="5" max="5" width="8.375" style="332" customWidth="1"/>
    <col min="6" max="6" width="10.75390625" style="332" customWidth="1"/>
    <col min="7" max="7" width="8.25390625" style="332" customWidth="1"/>
    <col min="8" max="8" width="9.875" style="332" customWidth="1"/>
    <col min="9" max="9" width="8.00390625" style="332" customWidth="1"/>
    <col min="10" max="10" width="12.25390625" style="332" customWidth="1"/>
    <col min="11" max="11" width="9.25390625" style="332" customWidth="1"/>
    <col min="12" max="12" width="11.50390625" style="332" customWidth="1"/>
    <col min="13" max="28" width="8.00390625" style="332" customWidth="1"/>
    <col min="29" max="29" width="8.375" style="332" customWidth="1"/>
    <col min="30" max="30" width="8.00390625" style="332" customWidth="1"/>
    <col min="31" max="31" width="11.25390625" style="332" customWidth="1"/>
    <col min="32" max="32" width="13.50390625" style="332" customWidth="1"/>
    <col min="33" max="16384" width="8.00390625" style="332" customWidth="1"/>
  </cols>
  <sheetData>
    <row r="1" spans="1:12" ht="20.25" customHeight="1">
      <c r="A1" s="1325" t="s">
        <v>324</v>
      </c>
      <c r="B1" s="1325"/>
      <c r="C1" s="1325"/>
      <c r="D1" s="1328" t="s">
        <v>451</v>
      </c>
      <c r="E1" s="1328"/>
      <c r="F1" s="1328"/>
      <c r="G1" s="1328"/>
      <c r="H1" s="1328"/>
      <c r="I1" s="1328"/>
      <c r="J1" s="200" t="s">
        <v>452</v>
      </c>
      <c r="K1" s="331"/>
      <c r="L1" s="331"/>
    </row>
    <row r="2" spans="1:12" ht="18.75" customHeight="1">
      <c r="A2" s="1326" t="s">
        <v>410</v>
      </c>
      <c r="B2" s="1326"/>
      <c r="C2" s="1326"/>
      <c r="D2" s="1420" t="s">
        <v>325</v>
      </c>
      <c r="E2" s="1420"/>
      <c r="F2" s="1420"/>
      <c r="G2" s="1420"/>
      <c r="H2" s="1420"/>
      <c r="I2" s="1420"/>
      <c r="J2" s="1325" t="s">
        <v>453</v>
      </c>
      <c r="K2" s="1325"/>
      <c r="L2" s="1325"/>
    </row>
    <row r="3" spans="1:12" ht="17.25">
      <c r="A3" s="1326" t="s">
        <v>362</v>
      </c>
      <c r="B3" s="1326"/>
      <c r="C3" s="1326"/>
      <c r="D3" s="1421" t="s">
        <v>454</v>
      </c>
      <c r="E3" s="1422"/>
      <c r="F3" s="1422"/>
      <c r="G3" s="1422"/>
      <c r="H3" s="1422"/>
      <c r="I3" s="1422"/>
      <c r="J3" s="203" t="s">
        <v>470</v>
      </c>
      <c r="K3" s="203"/>
      <c r="L3" s="203"/>
    </row>
    <row r="4" spans="1:12" ht="15.75">
      <c r="A4" s="1424" t="s">
        <v>455</v>
      </c>
      <c r="B4" s="1424"/>
      <c r="C4" s="1424"/>
      <c r="D4" s="1425"/>
      <c r="E4" s="1425"/>
      <c r="F4" s="1425"/>
      <c r="G4" s="1425"/>
      <c r="H4" s="1425"/>
      <c r="I4" s="1425"/>
      <c r="J4" s="1322" t="s">
        <v>412</v>
      </c>
      <c r="K4" s="1322"/>
      <c r="L4" s="1322"/>
    </row>
    <row r="5" spans="1:13" ht="15.75">
      <c r="A5" s="333"/>
      <c r="B5" s="333"/>
      <c r="C5" s="334"/>
      <c r="D5" s="334"/>
      <c r="E5" s="202"/>
      <c r="J5" s="335" t="s">
        <v>456</v>
      </c>
      <c r="K5" s="250"/>
      <c r="L5" s="250"/>
      <c r="M5" s="250"/>
    </row>
    <row r="6" spans="1:13" s="338" customFormat="1" ht="24.75" customHeight="1">
      <c r="A6" s="1428" t="s">
        <v>72</v>
      </c>
      <c r="B6" s="1429"/>
      <c r="C6" s="1423" t="s">
        <v>457</v>
      </c>
      <c r="D6" s="1423"/>
      <c r="E6" s="1423"/>
      <c r="F6" s="1423"/>
      <c r="G6" s="1423"/>
      <c r="H6" s="1423"/>
      <c r="I6" s="1423" t="s">
        <v>326</v>
      </c>
      <c r="J6" s="1423"/>
      <c r="K6" s="1423"/>
      <c r="L6" s="1423"/>
      <c r="M6" s="337"/>
    </row>
    <row r="7" spans="1:13" s="338" customFormat="1" ht="17.25" customHeight="1">
      <c r="A7" s="1430"/>
      <c r="B7" s="1431"/>
      <c r="C7" s="1423" t="s">
        <v>38</v>
      </c>
      <c r="D7" s="1423"/>
      <c r="E7" s="1423" t="s">
        <v>7</v>
      </c>
      <c r="F7" s="1423"/>
      <c r="G7" s="1423"/>
      <c r="H7" s="1423"/>
      <c r="I7" s="1423" t="s">
        <v>327</v>
      </c>
      <c r="J7" s="1423"/>
      <c r="K7" s="1423" t="s">
        <v>328</v>
      </c>
      <c r="L7" s="1423"/>
      <c r="M7" s="337"/>
    </row>
    <row r="8" spans="1:12" s="338" customFormat="1" ht="27.75" customHeight="1">
      <c r="A8" s="1430"/>
      <c r="B8" s="1431"/>
      <c r="C8" s="1423"/>
      <c r="D8" s="1423"/>
      <c r="E8" s="1423" t="s">
        <v>329</v>
      </c>
      <c r="F8" s="1423"/>
      <c r="G8" s="1423" t="s">
        <v>330</v>
      </c>
      <c r="H8" s="1423"/>
      <c r="I8" s="1423"/>
      <c r="J8" s="1423"/>
      <c r="K8" s="1423"/>
      <c r="L8" s="1423"/>
    </row>
    <row r="9" spans="1:12" s="338" customFormat="1" ht="24.75" customHeight="1">
      <c r="A9" s="1432"/>
      <c r="B9" s="1433"/>
      <c r="C9" s="336" t="s">
        <v>331</v>
      </c>
      <c r="D9" s="336" t="s">
        <v>10</v>
      </c>
      <c r="E9" s="336" t="s">
        <v>3</v>
      </c>
      <c r="F9" s="336" t="s">
        <v>332</v>
      </c>
      <c r="G9" s="336" t="s">
        <v>3</v>
      </c>
      <c r="H9" s="336" t="s">
        <v>332</v>
      </c>
      <c r="I9" s="336" t="s">
        <v>3</v>
      </c>
      <c r="J9" s="336" t="s">
        <v>332</v>
      </c>
      <c r="K9" s="336" t="s">
        <v>3</v>
      </c>
      <c r="L9" s="336" t="s">
        <v>332</v>
      </c>
    </row>
    <row r="10" spans="1:12" s="340" customFormat="1" ht="15.75">
      <c r="A10" s="1356" t="s">
        <v>6</v>
      </c>
      <c r="B10" s="1357"/>
      <c r="C10" s="339">
        <v>1</v>
      </c>
      <c r="D10" s="339">
        <v>2</v>
      </c>
      <c r="E10" s="339">
        <v>3</v>
      </c>
      <c r="F10" s="339">
        <v>4</v>
      </c>
      <c r="G10" s="339">
        <v>5</v>
      </c>
      <c r="H10" s="339">
        <v>6</v>
      </c>
      <c r="I10" s="339">
        <v>7</v>
      </c>
      <c r="J10" s="339">
        <v>8</v>
      </c>
      <c r="K10" s="339">
        <v>9</v>
      </c>
      <c r="L10" s="339">
        <v>10</v>
      </c>
    </row>
    <row r="11" spans="1:12" s="340" customFormat="1" ht="30.75" customHeight="1">
      <c r="A11" s="1345" t="s">
        <v>407</v>
      </c>
      <c r="B11" s="1346"/>
      <c r="C11" s="257">
        <f aca="true" t="shared" si="0" ref="C11:L11">C13-C12</f>
        <v>0</v>
      </c>
      <c r="D11" s="257">
        <f t="shared" si="0"/>
        <v>0</v>
      </c>
      <c r="E11" s="257">
        <f t="shared" si="0"/>
        <v>0</v>
      </c>
      <c r="F11" s="257">
        <f t="shared" si="0"/>
        <v>0</v>
      </c>
      <c r="G11" s="257">
        <f t="shared" si="0"/>
        <v>0</v>
      </c>
      <c r="H11" s="257">
        <f t="shared" si="0"/>
        <v>0</v>
      </c>
      <c r="I11" s="257">
        <f t="shared" si="0"/>
        <v>0</v>
      </c>
      <c r="J11" s="257">
        <f t="shared" si="0"/>
        <v>0</v>
      </c>
      <c r="K11" s="257">
        <f t="shared" si="0"/>
        <v>0</v>
      </c>
      <c r="L11" s="257">
        <f t="shared" si="0"/>
        <v>0</v>
      </c>
    </row>
    <row r="12" spans="1:12" s="340" customFormat="1" ht="27" customHeight="1">
      <c r="A12" s="1332" t="s">
        <v>408</v>
      </c>
      <c r="B12" s="1333"/>
      <c r="C12" s="258">
        <v>0</v>
      </c>
      <c r="D12" s="258">
        <v>0</v>
      </c>
      <c r="E12" s="258">
        <v>0</v>
      </c>
      <c r="F12" s="258">
        <v>0</v>
      </c>
      <c r="G12" s="258">
        <v>0</v>
      </c>
      <c r="H12" s="258">
        <v>0</v>
      </c>
      <c r="I12" s="258">
        <v>0</v>
      </c>
      <c r="J12" s="258">
        <v>0</v>
      </c>
      <c r="K12" s="258">
        <v>0</v>
      </c>
      <c r="L12" s="258">
        <v>0</v>
      </c>
    </row>
    <row r="13" spans="1:32" s="340" customFormat="1" ht="17.25" customHeight="1">
      <c r="A13" s="1340" t="s">
        <v>37</v>
      </c>
      <c r="B13" s="1334"/>
      <c r="C13" s="341">
        <f aca="true" t="shared" si="1" ref="C13:L13">C14+C15</f>
        <v>0</v>
      </c>
      <c r="D13" s="341">
        <f t="shared" si="1"/>
        <v>0</v>
      </c>
      <c r="E13" s="341">
        <f t="shared" si="1"/>
        <v>0</v>
      </c>
      <c r="F13" s="341">
        <f t="shared" si="1"/>
        <v>0</v>
      </c>
      <c r="G13" s="341">
        <f t="shared" si="1"/>
        <v>0</v>
      </c>
      <c r="H13" s="341">
        <f t="shared" si="1"/>
        <v>0</v>
      </c>
      <c r="I13" s="341">
        <f t="shared" si="1"/>
        <v>0</v>
      </c>
      <c r="J13" s="341">
        <f t="shared" si="1"/>
        <v>0</v>
      </c>
      <c r="K13" s="341">
        <f t="shared" si="1"/>
        <v>0</v>
      </c>
      <c r="L13" s="341">
        <f t="shared" si="1"/>
        <v>0</v>
      </c>
      <c r="AF13" s="340">
        <f>AC14-AC15</f>
        <v>0</v>
      </c>
    </row>
    <row r="14" spans="1:37" s="342" customFormat="1" ht="17.25" customHeight="1">
      <c r="A14" s="206" t="s">
        <v>0</v>
      </c>
      <c r="B14" s="207" t="s">
        <v>98</v>
      </c>
      <c r="C14" s="341">
        <f>C15+C16</f>
        <v>0</v>
      </c>
      <c r="D14" s="341">
        <f>D15+D16</f>
        <v>0</v>
      </c>
      <c r="E14" s="261">
        <v>0</v>
      </c>
      <c r="F14" s="261">
        <v>0</v>
      </c>
      <c r="G14" s="261">
        <v>0</v>
      </c>
      <c r="H14" s="261">
        <v>0</v>
      </c>
      <c r="I14" s="261">
        <v>0</v>
      </c>
      <c r="J14" s="261">
        <v>0</v>
      </c>
      <c r="K14" s="261">
        <v>0</v>
      </c>
      <c r="L14" s="261">
        <v>0</v>
      </c>
      <c r="AK14" s="343"/>
    </row>
    <row r="15" spans="1:12" s="342" customFormat="1" ht="17.25" customHeight="1">
      <c r="A15" s="263" t="s">
        <v>1</v>
      </c>
      <c r="B15" s="207" t="s">
        <v>19</v>
      </c>
      <c r="C15" s="341">
        <f aca="true" t="shared" si="2" ref="C15:L15">C16+C17+C18+C19+C20+C21+C22+C23+C24+C25+C26</f>
        <v>0</v>
      </c>
      <c r="D15" s="341">
        <f t="shared" si="2"/>
        <v>0</v>
      </c>
      <c r="E15" s="341">
        <f t="shared" si="2"/>
        <v>0</v>
      </c>
      <c r="F15" s="341">
        <f t="shared" si="2"/>
        <v>0</v>
      </c>
      <c r="G15" s="341">
        <f t="shared" si="2"/>
        <v>0</v>
      </c>
      <c r="H15" s="341">
        <f t="shared" si="2"/>
        <v>0</v>
      </c>
      <c r="I15" s="341">
        <f t="shared" si="2"/>
        <v>0</v>
      </c>
      <c r="J15" s="341">
        <f t="shared" si="2"/>
        <v>0</v>
      </c>
      <c r="K15" s="341">
        <f t="shared" si="2"/>
        <v>0</v>
      </c>
      <c r="L15" s="341">
        <f t="shared" si="2"/>
        <v>0</v>
      </c>
    </row>
    <row r="16" spans="1:38" s="342" customFormat="1" ht="17.25" customHeight="1">
      <c r="A16" s="209">
        <v>1</v>
      </c>
      <c r="B16" s="77" t="s">
        <v>377</v>
      </c>
      <c r="C16" s="341">
        <f aca="true" t="shared" si="3" ref="C16:C26">E16+G16</f>
        <v>0</v>
      </c>
      <c r="D16" s="341">
        <f aca="true" t="shared" si="4" ref="D16:D26">F16+H16</f>
        <v>0</v>
      </c>
      <c r="E16" s="261">
        <v>0</v>
      </c>
      <c r="F16" s="261">
        <v>0</v>
      </c>
      <c r="G16" s="261">
        <v>0</v>
      </c>
      <c r="H16" s="261">
        <v>0</v>
      </c>
      <c r="I16" s="261">
        <v>0</v>
      </c>
      <c r="J16" s="261">
        <v>0</v>
      </c>
      <c r="K16" s="261">
        <v>0</v>
      </c>
      <c r="L16" s="261">
        <v>0</v>
      </c>
      <c r="AL16" s="343"/>
    </row>
    <row r="17" spans="1:32" s="342" customFormat="1" ht="17.25" customHeight="1">
      <c r="A17" s="209">
        <v>2</v>
      </c>
      <c r="B17" s="77" t="s">
        <v>409</v>
      </c>
      <c r="C17" s="341">
        <f t="shared" si="3"/>
        <v>0</v>
      </c>
      <c r="D17" s="341">
        <f t="shared" si="4"/>
        <v>0</v>
      </c>
      <c r="E17" s="261">
        <v>0</v>
      </c>
      <c r="F17" s="261">
        <v>0</v>
      </c>
      <c r="G17" s="261">
        <v>0</v>
      </c>
      <c r="H17" s="261">
        <v>0</v>
      </c>
      <c r="I17" s="261">
        <v>0</v>
      </c>
      <c r="J17" s="261">
        <v>0</v>
      </c>
      <c r="K17" s="261">
        <v>0</v>
      </c>
      <c r="L17" s="261">
        <v>0</v>
      </c>
      <c r="AF17" s="343" t="e">
        <f>(R17-D17)/D17</f>
        <v>#DIV/0!</v>
      </c>
    </row>
    <row r="18" spans="1:12" s="342" customFormat="1" ht="17.25" customHeight="1">
      <c r="A18" s="209">
        <v>3</v>
      </c>
      <c r="B18" s="77" t="s">
        <v>380</v>
      </c>
      <c r="C18" s="341">
        <f t="shared" si="3"/>
        <v>0</v>
      </c>
      <c r="D18" s="341">
        <f t="shared" si="4"/>
        <v>0</v>
      </c>
      <c r="E18" s="261">
        <v>0</v>
      </c>
      <c r="F18" s="261">
        <v>0</v>
      </c>
      <c r="G18" s="261">
        <v>0</v>
      </c>
      <c r="H18" s="261">
        <v>0</v>
      </c>
      <c r="I18" s="261">
        <v>0</v>
      </c>
      <c r="J18" s="261">
        <v>0</v>
      </c>
      <c r="K18" s="261">
        <v>0</v>
      </c>
      <c r="L18" s="261">
        <v>0</v>
      </c>
    </row>
    <row r="19" spans="1:12" s="342" customFormat="1" ht="17.25" customHeight="1">
      <c r="A19" s="209">
        <v>4</v>
      </c>
      <c r="B19" s="77" t="s">
        <v>381</v>
      </c>
      <c r="C19" s="341">
        <f t="shared" si="3"/>
        <v>0</v>
      </c>
      <c r="D19" s="341">
        <f t="shared" si="4"/>
        <v>0</v>
      </c>
      <c r="E19" s="261">
        <v>0</v>
      </c>
      <c r="F19" s="261">
        <v>0</v>
      </c>
      <c r="G19" s="261">
        <v>0</v>
      </c>
      <c r="H19" s="261">
        <v>0</v>
      </c>
      <c r="I19" s="261">
        <v>0</v>
      </c>
      <c r="J19" s="261">
        <v>0</v>
      </c>
      <c r="K19" s="261">
        <v>0</v>
      </c>
      <c r="L19" s="261">
        <v>0</v>
      </c>
    </row>
    <row r="20" spans="1:12" s="342" customFormat="1" ht="17.25" customHeight="1">
      <c r="A20" s="209">
        <v>5</v>
      </c>
      <c r="B20" s="77" t="s">
        <v>382</v>
      </c>
      <c r="C20" s="341">
        <f t="shared" si="3"/>
        <v>0</v>
      </c>
      <c r="D20" s="341">
        <f t="shared" si="4"/>
        <v>0</v>
      </c>
      <c r="E20" s="261">
        <v>0</v>
      </c>
      <c r="F20" s="261">
        <v>0</v>
      </c>
      <c r="G20" s="261">
        <v>0</v>
      </c>
      <c r="H20" s="261">
        <v>0</v>
      </c>
      <c r="I20" s="261">
        <v>0</v>
      </c>
      <c r="J20" s="261">
        <v>0</v>
      </c>
      <c r="K20" s="261">
        <v>0</v>
      </c>
      <c r="L20" s="261">
        <v>0</v>
      </c>
    </row>
    <row r="21" spans="1:39" s="342" customFormat="1" ht="17.25" customHeight="1">
      <c r="A21" s="209">
        <v>6</v>
      </c>
      <c r="B21" s="77" t="s">
        <v>383</v>
      </c>
      <c r="C21" s="341">
        <f t="shared" si="3"/>
        <v>0</v>
      </c>
      <c r="D21" s="341">
        <f t="shared" si="4"/>
        <v>0</v>
      </c>
      <c r="E21" s="261">
        <v>0</v>
      </c>
      <c r="F21" s="261">
        <v>0</v>
      </c>
      <c r="G21" s="261">
        <v>0</v>
      </c>
      <c r="H21" s="261">
        <v>0</v>
      </c>
      <c r="I21" s="261">
        <v>0</v>
      </c>
      <c r="J21" s="261">
        <v>0</v>
      </c>
      <c r="K21" s="261">
        <v>0</v>
      </c>
      <c r="L21" s="261">
        <v>0</v>
      </c>
      <c r="AJ21" s="342">
        <f>AI20-AI21</f>
        <v>0</v>
      </c>
      <c r="AK21" s="342">
        <v>1653</v>
      </c>
      <c r="AL21" s="342">
        <f>AI20-AK21</f>
        <v>-1653</v>
      </c>
      <c r="AM21" s="343" t="e">
        <f>AL21/AI20</f>
        <v>#DIV/0!</v>
      </c>
    </row>
    <row r="22" spans="1:39" s="342" customFormat="1" ht="17.25" customHeight="1">
      <c r="A22" s="209">
        <v>7</v>
      </c>
      <c r="B22" s="77" t="s">
        <v>388</v>
      </c>
      <c r="C22" s="341">
        <f t="shared" si="3"/>
        <v>0</v>
      </c>
      <c r="D22" s="341">
        <f t="shared" si="4"/>
        <v>0</v>
      </c>
      <c r="E22" s="261">
        <v>0</v>
      </c>
      <c r="F22" s="261">
        <v>0</v>
      </c>
      <c r="G22" s="261">
        <v>0</v>
      </c>
      <c r="H22" s="261">
        <v>0</v>
      </c>
      <c r="I22" s="261">
        <v>0</v>
      </c>
      <c r="J22" s="261">
        <v>0</v>
      </c>
      <c r="K22" s="261">
        <v>0</v>
      </c>
      <c r="L22" s="261">
        <v>0</v>
      </c>
      <c r="AM22" s="343" t="e">
        <f>AN20-AM21</f>
        <v>#DIV/0!</v>
      </c>
    </row>
    <row r="23" spans="1:12" s="342" customFormat="1" ht="17.25" customHeight="1">
      <c r="A23" s="209">
        <v>8</v>
      </c>
      <c r="B23" s="77" t="s">
        <v>390</v>
      </c>
      <c r="C23" s="341">
        <f t="shared" si="3"/>
        <v>0</v>
      </c>
      <c r="D23" s="341">
        <f t="shared" si="4"/>
        <v>0</v>
      </c>
      <c r="E23" s="261">
        <v>0</v>
      </c>
      <c r="F23" s="261">
        <v>0</v>
      </c>
      <c r="G23" s="261">
        <v>0</v>
      </c>
      <c r="H23" s="261">
        <v>0</v>
      </c>
      <c r="I23" s="261">
        <v>0</v>
      </c>
      <c r="J23" s="261">
        <v>0</v>
      </c>
      <c r="K23" s="261">
        <v>0</v>
      </c>
      <c r="L23" s="261">
        <v>0</v>
      </c>
    </row>
    <row r="24" spans="1:36" s="342" customFormat="1" ht="17.25" customHeight="1">
      <c r="A24" s="209">
        <v>9</v>
      </c>
      <c r="B24" s="77" t="s">
        <v>391</v>
      </c>
      <c r="C24" s="341">
        <f t="shared" si="3"/>
        <v>0</v>
      </c>
      <c r="D24" s="341">
        <f t="shared" si="4"/>
        <v>0</v>
      </c>
      <c r="E24" s="261">
        <v>0</v>
      </c>
      <c r="F24" s="261">
        <v>0</v>
      </c>
      <c r="G24" s="261">
        <v>0</v>
      </c>
      <c r="H24" s="261">
        <v>0</v>
      </c>
      <c r="I24" s="261">
        <v>0</v>
      </c>
      <c r="J24" s="261">
        <v>0</v>
      </c>
      <c r="K24" s="261">
        <v>0</v>
      </c>
      <c r="L24" s="261">
        <v>0</v>
      </c>
      <c r="AJ24" s="342">
        <f>AI23-AI24</f>
        <v>0</v>
      </c>
    </row>
    <row r="25" spans="1:36" s="342" customFormat="1" ht="17.25" customHeight="1">
      <c r="A25" s="209">
        <v>10</v>
      </c>
      <c r="B25" s="77" t="s">
        <v>392</v>
      </c>
      <c r="C25" s="341">
        <f t="shared" si="3"/>
        <v>0</v>
      </c>
      <c r="D25" s="341">
        <f t="shared" si="4"/>
        <v>0</v>
      </c>
      <c r="E25" s="261">
        <v>0</v>
      </c>
      <c r="F25" s="261">
        <v>0</v>
      </c>
      <c r="G25" s="261">
        <v>0</v>
      </c>
      <c r="H25" s="261">
        <v>0</v>
      </c>
      <c r="I25" s="261">
        <v>0</v>
      </c>
      <c r="J25" s="261">
        <v>0</v>
      </c>
      <c r="K25" s="261">
        <v>0</v>
      </c>
      <c r="L25" s="261">
        <v>0</v>
      </c>
      <c r="AJ25" s="343" t="e">
        <f>AI24/AI25</f>
        <v>#DIV/0!</v>
      </c>
    </row>
    <row r="26" spans="1:44" s="342" customFormat="1" ht="17.25" customHeight="1">
      <c r="A26" s="209">
        <v>11</v>
      </c>
      <c r="B26" s="77" t="s">
        <v>394</v>
      </c>
      <c r="C26" s="341">
        <f t="shared" si="3"/>
        <v>0</v>
      </c>
      <c r="D26" s="341">
        <f t="shared" si="4"/>
        <v>0</v>
      </c>
      <c r="E26" s="261">
        <v>0</v>
      </c>
      <c r="F26" s="261">
        <v>0</v>
      </c>
      <c r="G26" s="261">
        <v>0</v>
      </c>
      <c r="H26" s="261">
        <v>0</v>
      </c>
      <c r="I26" s="261">
        <v>0</v>
      </c>
      <c r="J26" s="261">
        <v>0</v>
      </c>
      <c r="K26" s="261">
        <v>0</v>
      </c>
      <c r="L26" s="261">
        <v>0</v>
      </c>
      <c r="AR26" s="343"/>
    </row>
    <row r="27" ht="7.5" customHeight="1"/>
    <row r="28" spans="1:35" s="201" customFormat="1" ht="15.75" customHeight="1">
      <c r="A28" s="211"/>
      <c r="B28" s="1337" t="s">
        <v>395</v>
      </c>
      <c r="C28" s="1337"/>
      <c r="D28" s="1337"/>
      <c r="E28" s="213"/>
      <c r="F28" s="267"/>
      <c r="G28" s="267"/>
      <c r="H28" s="1336" t="s">
        <v>395</v>
      </c>
      <c r="I28" s="1336"/>
      <c r="J28" s="1336"/>
      <c r="K28" s="1336"/>
      <c r="L28" s="1336"/>
      <c r="AG28" s="201" t="s">
        <v>396</v>
      </c>
      <c r="AI28" s="199">
        <f>82/88</f>
        <v>0.9318181818181818</v>
      </c>
    </row>
    <row r="29" spans="1:12" s="201" customFormat="1" ht="19.5" customHeight="1">
      <c r="A29" s="211"/>
      <c r="B29" s="1338" t="s">
        <v>333</v>
      </c>
      <c r="C29" s="1338"/>
      <c r="D29" s="1338"/>
      <c r="E29" s="213"/>
      <c r="F29" s="214"/>
      <c r="G29" s="214"/>
      <c r="H29" s="1339" t="s">
        <v>251</v>
      </c>
      <c r="I29" s="1339"/>
      <c r="J29" s="1339"/>
      <c r="K29" s="1339"/>
      <c r="L29" s="1339"/>
    </row>
    <row r="30" spans="1:12" s="205" customFormat="1" ht="15" customHeight="1">
      <c r="A30" s="211"/>
      <c r="B30" s="1427"/>
      <c r="C30" s="1427"/>
      <c r="D30" s="1427"/>
      <c r="E30" s="213"/>
      <c r="F30" s="214"/>
      <c r="G30" s="214"/>
      <c r="H30" s="1300"/>
      <c r="I30" s="1300"/>
      <c r="J30" s="1300"/>
      <c r="K30" s="1300"/>
      <c r="L30" s="1300"/>
    </row>
    <row r="31" spans="1:12" s="201" customFormat="1" ht="15" customHeight="1">
      <c r="A31" s="211"/>
      <c r="B31" s="212"/>
      <c r="C31" s="212"/>
      <c r="D31" s="213"/>
      <c r="E31" s="213"/>
      <c r="F31" s="214"/>
      <c r="G31" s="214"/>
      <c r="H31" s="216"/>
      <c r="I31" s="216"/>
      <c r="J31" s="216"/>
      <c r="K31" s="216"/>
      <c r="L31" s="216"/>
    </row>
    <row r="32" spans="1:12" s="201" customFormat="1" ht="15" customHeight="1">
      <c r="A32" s="211"/>
      <c r="B32" s="212"/>
      <c r="C32" s="212"/>
      <c r="D32" s="213"/>
      <c r="E32" s="213"/>
      <c r="F32" s="214"/>
      <c r="G32" s="214"/>
      <c r="H32" s="216"/>
      <c r="I32" s="216"/>
      <c r="J32" s="216"/>
      <c r="K32" s="216"/>
      <c r="L32" s="216"/>
    </row>
    <row r="33" spans="2:12" ht="19.5">
      <c r="B33" s="1434" t="s">
        <v>399</v>
      </c>
      <c r="C33" s="1434"/>
      <c r="D33" s="1434"/>
      <c r="E33" s="345"/>
      <c r="F33" s="345"/>
      <c r="G33" s="345"/>
      <c r="H33" s="345"/>
      <c r="I33" s="345"/>
      <c r="J33" s="346" t="s">
        <v>399</v>
      </c>
      <c r="K33" s="345"/>
      <c r="L33" s="345"/>
    </row>
    <row r="34" spans="2:12" ht="18.75">
      <c r="B34" s="345"/>
      <c r="C34" s="345"/>
      <c r="D34" s="345"/>
      <c r="E34" s="345"/>
      <c r="F34" s="345"/>
      <c r="G34" s="345"/>
      <c r="H34" s="345"/>
      <c r="I34" s="345"/>
      <c r="J34" s="345"/>
      <c r="K34" s="345"/>
      <c r="L34" s="345"/>
    </row>
    <row r="35" spans="2:12" ht="18.75">
      <c r="B35" s="345"/>
      <c r="C35" s="345"/>
      <c r="D35" s="345"/>
      <c r="E35" s="345"/>
      <c r="F35" s="345"/>
      <c r="G35" s="345"/>
      <c r="H35" s="345"/>
      <c r="I35" s="345"/>
      <c r="J35" s="345"/>
      <c r="K35" s="345"/>
      <c r="L35" s="345"/>
    </row>
    <row r="36" spans="1:12" s="193" customFormat="1" ht="18.75" hidden="1">
      <c r="A36" s="244" t="s">
        <v>47</v>
      </c>
      <c r="B36" s="195"/>
      <c r="C36" s="195"/>
      <c r="D36" s="195"/>
      <c r="E36" s="195"/>
      <c r="F36" s="195"/>
      <c r="G36" s="195"/>
      <c r="H36" s="195"/>
      <c r="I36" s="195"/>
      <c r="J36" s="195"/>
      <c r="K36" s="347"/>
      <c r="L36" s="195"/>
    </row>
    <row r="37" spans="1:15" s="193" customFormat="1" ht="15" customHeight="1" hidden="1">
      <c r="A37" s="197"/>
      <c r="B37" s="1426" t="s">
        <v>334</v>
      </c>
      <c r="C37" s="1426"/>
      <c r="D37" s="1426"/>
      <c r="E37" s="1426"/>
      <c r="F37" s="1426"/>
      <c r="G37" s="1426"/>
      <c r="H37" s="1426"/>
      <c r="I37" s="1426"/>
      <c r="J37" s="1426"/>
      <c r="K37" s="348"/>
      <c r="L37" s="303"/>
      <c r="M37" s="274"/>
      <c r="N37" s="274"/>
      <c r="O37" s="274"/>
    </row>
    <row r="38" spans="2:12" s="193" customFormat="1" ht="18.75" hidden="1">
      <c r="B38" s="245" t="s">
        <v>335</v>
      </c>
      <c r="C38" s="195"/>
      <c r="D38" s="195"/>
      <c r="E38" s="195"/>
      <c r="F38" s="195"/>
      <c r="G38" s="195"/>
      <c r="H38" s="195"/>
      <c r="I38" s="195"/>
      <c r="J38" s="195"/>
      <c r="K38" s="347"/>
      <c r="L38" s="195"/>
    </row>
    <row r="39" spans="2:12" ht="18.75" hidden="1">
      <c r="B39" s="349" t="s">
        <v>336</v>
      </c>
      <c r="C39" s="345"/>
      <c r="D39" s="345"/>
      <c r="E39" s="345"/>
      <c r="F39" s="345"/>
      <c r="G39" s="345"/>
      <c r="H39" s="345"/>
      <c r="I39" s="345"/>
      <c r="J39" s="345"/>
      <c r="K39" s="345"/>
      <c r="L39" s="345"/>
    </row>
    <row r="40" spans="2:12" ht="18.75" hidden="1">
      <c r="B40" s="345"/>
      <c r="C40" s="345"/>
      <c r="D40" s="345"/>
      <c r="E40" s="345"/>
      <c r="F40" s="345"/>
      <c r="G40" s="345"/>
      <c r="H40" s="345"/>
      <c r="I40" s="345"/>
      <c r="J40" s="345"/>
      <c r="K40" s="345"/>
      <c r="L40" s="345"/>
    </row>
    <row r="41" spans="2:13" ht="18.75">
      <c r="B41" s="1205" t="s">
        <v>441</v>
      </c>
      <c r="C41" s="1205"/>
      <c r="D41" s="1205"/>
      <c r="E41" s="219"/>
      <c r="F41" s="219"/>
      <c r="G41" s="191"/>
      <c r="H41" s="1206" t="s">
        <v>353</v>
      </c>
      <c r="I41" s="1206"/>
      <c r="J41" s="1206"/>
      <c r="K41" s="1206"/>
      <c r="L41" s="1206"/>
      <c r="M41" s="172"/>
    </row>
    <row r="42" spans="2:12" ht="18.75">
      <c r="B42" s="345"/>
      <c r="C42" s="345"/>
      <c r="D42" s="345"/>
      <c r="E42" s="345"/>
      <c r="F42" s="345"/>
      <c r="G42" s="345"/>
      <c r="H42" s="345"/>
      <c r="I42" s="345"/>
      <c r="J42" s="345"/>
      <c r="K42" s="345"/>
      <c r="L42" s="345"/>
    </row>
  </sheetData>
  <sheetProtection/>
  <mergeCells count="33">
    <mergeCell ref="H29:L29"/>
    <mergeCell ref="A13:B13"/>
    <mergeCell ref="B33:D33"/>
    <mergeCell ref="K7:L8"/>
    <mergeCell ref="H30:L30"/>
    <mergeCell ref="A12:B12"/>
    <mergeCell ref="A11:B11"/>
    <mergeCell ref="J2:L2"/>
    <mergeCell ref="B30:D30"/>
    <mergeCell ref="B29:D29"/>
    <mergeCell ref="A6:B9"/>
    <mergeCell ref="B28:D28"/>
    <mergeCell ref="E8:F8"/>
    <mergeCell ref="G8:H8"/>
    <mergeCell ref="I7:J8"/>
    <mergeCell ref="A10:B10"/>
    <mergeCell ref="H28:L28"/>
    <mergeCell ref="J4:L4"/>
    <mergeCell ref="B41:D41"/>
    <mergeCell ref="H41:L41"/>
    <mergeCell ref="C6:H6"/>
    <mergeCell ref="A4:C4"/>
    <mergeCell ref="D4:I4"/>
    <mergeCell ref="B37:J37"/>
    <mergeCell ref="C7:D8"/>
    <mergeCell ref="E7:H7"/>
    <mergeCell ref="I6:L6"/>
    <mergeCell ref="A1:C1"/>
    <mergeCell ref="D1:I1"/>
    <mergeCell ref="D2:I2"/>
    <mergeCell ref="D3:I3"/>
    <mergeCell ref="A2:C2"/>
    <mergeCell ref="A3:C3"/>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50" hidden="1" customWidth="1"/>
    <col min="12" max="12" width="68.75390625" style="350" customWidth="1"/>
    <col min="13" max="13" width="16.125" style="350" bestFit="1" customWidth="1"/>
    <col min="14" max="14" width="47.625" style="350" customWidth="1"/>
    <col min="15" max="16384" width="9.00390625" style="350" customWidth="1"/>
  </cols>
  <sheetData>
    <row r="1" spans="12:25" ht="54.75" customHeight="1">
      <c r="L1" s="1435" t="s">
        <v>483</v>
      </c>
      <c r="M1" s="1436"/>
      <c r="N1" s="1436"/>
      <c r="O1" s="374"/>
      <c r="P1" s="374"/>
      <c r="Q1" s="374"/>
      <c r="R1" s="374"/>
      <c r="S1" s="374"/>
      <c r="T1" s="374"/>
      <c r="U1" s="374"/>
      <c r="V1" s="374"/>
      <c r="W1" s="374"/>
      <c r="X1" s="374"/>
      <c r="Y1" s="375"/>
    </row>
    <row r="2" spans="11:17" ht="34.5" customHeight="1">
      <c r="K2" s="358"/>
      <c r="L2" s="1437" t="s">
        <v>490</v>
      </c>
      <c r="M2" s="1438"/>
      <c r="N2" s="1439"/>
      <c r="O2" s="38"/>
      <c r="P2" s="360"/>
      <c r="Q2" s="356"/>
    </row>
    <row r="3" spans="11:18" ht="31.5" customHeight="1">
      <c r="K3" s="358"/>
      <c r="L3" s="363" t="s">
        <v>499</v>
      </c>
      <c r="M3" s="364">
        <f>'06'!C11</f>
        <v>15706</v>
      </c>
      <c r="N3" s="364"/>
      <c r="O3" s="364"/>
      <c r="P3" s="361"/>
      <c r="Q3" s="357"/>
      <c r="R3" s="354"/>
    </row>
    <row r="4" spans="11:18" ht="30" customHeight="1">
      <c r="K4" s="358"/>
      <c r="L4" s="365" t="s">
        <v>484</v>
      </c>
      <c r="M4" s="366">
        <f>'06'!D11</f>
        <v>8042</v>
      </c>
      <c r="N4" s="364"/>
      <c r="O4" s="364"/>
      <c r="P4" s="361"/>
      <c r="Q4" s="357"/>
      <c r="R4" s="354"/>
    </row>
    <row r="5" spans="11:18" ht="31.5" customHeight="1">
      <c r="K5" s="358"/>
      <c r="L5" s="365" t="s">
        <v>485</v>
      </c>
      <c r="M5" s="366">
        <f>'06'!E11</f>
        <v>7664</v>
      </c>
      <c r="N5" s="364"/>
      <c r="O5" s="364"/>
      <c r="P5" s="361"/>
      <c r="Q5" s="357"/>
      <c r="R5" s="354"/>
    </row>
    <row r="6" spans="11:18" ht="27" customHeight="1">
      <c r="K6" s="358"/>
      <c r="L6" s="363" t="s">
        <v>486</v>
      </c>
      <c r="M6" s="364">
        <f>'06'!F11</f>
        <v>220</v>
      </c>
      <c r="N6" s="364"/>
      <c r="O6" s="364"/>
      <c r="P6" s="361"/>
      <c r="Q6" s="357"/>
      <c r="R6" s="354"/>
    </row>
    <row r="7" spans="11:18" s="351" customFormat="1" ht="30" customHeight="1">
      <c r="K7" s="359"/>
      <c r="L7" s="367" t="s">
        <v>525</v>
      </c>
      <c r="M7" s="364">
        <f>'06'!H11</f>
        <v>15486</v>
      </c>
      <c r="N7" s="364"/>
      <c r="O7" s="364"/>
      <c r="P7" s="361"/>
      <c r="Q7" s="357"/>
      <c r="R7" s="354"/>
    </row>
    <row r="8" spans="11:18" ht="30.75" customHeight="1">
      <c r="K8" s="358"/>
      <c r="L8" s="368" t="s">
        <v>524</v>
      </c>
      <c r="M8" s="369">
        <f>'[7]M6 Tong hop Viec CHV '!$C$12</f>
        <v>1489</v>
      </c>
      <c r="N8" s="364"/>
      <c r="O8" s="364"/>
      <c r="P8" s="361"/>
      <c r="Q8" s="357"/>
      <c r="R8" s="354"/>
    </row>
    <row r="9" spans="11:18" ht="33" customHeight="1">
      <c r="K9" s="358"/>
      <c r="L9" s="376" t="s">
        <v>527</v>
      </c>
      <c r="M9" s="377">
        <f>(M7-M8)/M8</f>
        <v>9.400268636668905</v>
      </c>
      <c r="N9" s="364"/>
      <c r="O9" s="364"/>
      <c r="P9" s="361"/>
      <c r="Q9" s="357"/>
      <c r="R9" s="354"/>
    </row>
    <row r="10" spans="11:18" ht="33" customHeight="1">
      <c r="K10" s="358"/>
      <c r="L10" s="363" t="s">
        <v>526</v>
      </c>
      <c r="M10" s="364">
        <f>'06'!I11</f>
        <v>10077</v>
      </c>
      <c r="N10" s="364" t="s">
        <v>487</v>
      </c>
      <c r="O10" s="370">
        <f>M10/M7</f>
        <v>0.6507167764432391</v>
      </c>
      <c r="P10" s="361"/>
      <c r="Q10" s="357"/>
      <c r="R10" s="354"/>
    </row>
    <row r="11" spans="11:18" ht="22.5" customHeight="1">
      <c r="K11" s="358"/>
      <c r="L11" s="363" t="s">
        <v>528</v>
      </c>
      <c r="M11" s="364">
        <f>'06'!Q11</f>
        <v>5409</v>
      </c>
      <c r="N11" s="364" t="s">
        <v>487</v>
      </c>
      <c r="O11" s="370">
        <f>M11/M7</f>
        <v>0.34928322355676095</v>
      </c>
      <c r="P11" s="361"/>
      <c r="Q11" s="357"/>
      <c r="R11" s="354"/>
    </row>
    <row r="12" spans="11:18" ht="34.5" customHeight="1">
      <c r="K12" s="358"/>
      <c r="L12" s="363" t="s">
        <v>529</v>
      </c>
      <c r="M12" s="364">
        <f>'06'!J11+'06'!K11</f>
        <v>6622</v>
      </c>
      <c r="N12" s="363"/>
      <c r="O12" s="363"/>
      <c r="P12" s="355"/>
      <c r="R12" s="355"/>
    </row>
    <row r="13" spans="11:18" ht="33.75" customHeight="1">
      <c r="K13" s="358"/>
      <c r="L13" s="363" t="s">
        <v>530</v>
      </c>
      <c r="M13" s="370">
        <f>M12/M7</f>
        <v>0.42761203667829006</v>
      </c>
      <c r="N13" s="364"/>
      <c r="O13" s="364"/>
      <c r="P13" s="361"/>
      <c r="R13" s="355"/>
    </row>
    <row r="14" spans="11:18" ht="24.75" customHeight="1" hidden="1">
      <c r="K14" s="358"/>
      <c r="L14" s="363"/>
      <c r="M14" s="364"/>
      <c r="N14" s="364"/>
      <c r="O14" s="364"/>
      <c r="P14" s="361"/>
      <c r="R14" s="355"/>
    </row>
    <row r="15" spans="11:18" ht="24.75" customHeight="1" hidden="1">
      <c r="K15" s="358"/>
      <c r="L15" s="363"/>
      <c r="M15" s="364"/>
      <c r="N15" s="364"/>
      <c r="O15" s="364"/>
      <c r="P15" s="361"/>
      <c r="R15" s="355"/>
    </row>
    <row r="16" spans="11:18" ht="24.75" customHeight="1">
      <c r="K16" s="358"/>
      <c r="L16" s="368" t="s">
        <v>531</v>
      </c>
      <c r="M16" s="369">
        <f>'[7]M6 Tong hop Viec CHV '!$H$12+'[7]M6 Tong hop Viec CHV '!$I$12+'[7]M6 Tong hop Viec CHV '!$K$12</f>
        <v>749</v>
      </c>
      <c r="N16" s="364"/>
      <c r="O16" s="364"/>
      <c r="P16" s="361"/>
      <c r="R16" s="355"/>
    </row>
    <row r="17" spans="11:18" ht="24.75" customHeight="1">
      <c r="K17" s="358"/>
      <c r="L17" s="376" t="s">
        <v>532</v>
      </c>
      <c r="M17" s="371">
        <f>M16/M8</f>
        <v>0.5030221625251847</v>
      </c>
      <c r="N17" s="364"/>
      <c r="O17" s="364"/>
      <c r="P17" s="361"/>
      <c r="R17" s="355"/>
    </row>
    <row r="18" spans="11:18" ht="26.25" customHeight="1">
      <c r="K18" s="358"/>
      <c r="L18" s="376" t="s">
        <v>488</v>
      </c>
      <c r="M18" s="377">
        <f>M13-M17</f>
        <v>-0.07541012584689466</v>
      </c>
      <c r="N18" s="364"/>
      <c r="O18" s="364"/>
      <c r="P18" s="361"/>
      <c r="R18" s="355"/>
    </row>
    <row r="19" spans="11:18" ht="24.75" customHeight="1">
      <c r="K19" s="358"/>
      <c r="L19" s="363" t="s">
        <v>533</v>
      </c>
      <c r="M19" s="364">
        <f>'06'!J11</f>
        <v>6414</v>
      </c>
      <c r="N19" s="364"/>
      <c r="O19" s="364"/>
      <c r="P19" s="361"/>
      <c r="R19" s="355"/>
    </row>
    <row r="20" spans="11:18" ht="24.75" customHeight="1" hidden="1">
      <c r="K20" s="358"/>
      <c r="L20" s="363"/>
      <c r="M20" s="364"/>
      <c r="N20" s="364"/>
      <c r="O20" s="364"/>
      <c r="P20" s="361"/>
      <c r="R20" s="355"/>
    </row>
    <row r="21" spans="11:18" ht="24.75" customHeight="1" hidden="1">
      <c r="K21" s="358"/>
      <c r="L21" s="363"/>
      <c r="M21" s="364"/>
      <c r="N21" s="364"/>
      <c r="O21" s="364"/>
      <c r="P21" s="361"/>
      <c r="R21" s="355"/>
    </row>
    <row r="22" spans="11:18" ht="24.75" customHeight="1" hidden="1">
      <c r="K22" s="358"/>
      <c r="L22" s="363"/>
      <c r="M22" s="364"/>
      <c r="N22" s="364"/>
      <c r="O22" s="364"/>
      <c r="P22" s="361"/>
      <c r="R22" s="355"/>
    </row>
    <row r="23" spans="11:18" ht="24.75" customHeight="1" hidden="1">
      <c r="K23" s="358"/>
      <c r="L23" s="363"/>
      <c r="M23" s="364"/>
      <c r="N23" s="364"/>
      <c r="O23" s="364"/>
      <c r="P23" s="361"/>
      <c r="R23" s="355"/>
    </row>
    <row r="24" spans="11:18" ht="24.75" customHeight="1" hidden="1">
      <c r="K24" s="358"/>
      <c r="L24" s="363"/>
      <c r="M24" s="364"/>
      <c r="N24" s="364"/>
      <c r="O24" s="364"/>
      <c r="P24" s="361"/>
      <c r="R24" s="355"/>
    </row>
    <row r="25" spans="11:18" ht="24.75" customHeight="1" hidden="1">
      <c r="K25" s="358"/>
      <c r="L25" s="363"/>
      <c r="M25" s="364"/>
      <c r="N25" s="364"/>
      <c r="O25" s="364"/>
      <c r="P25" s="361"/>
      <c r="R25" s="355"/>
    </row>
    <row r="26" spans="11:18" ht="36" customHeight="1">
      <c r="K26" s="358"/>
      <c r="L26" s="363" t="s">
        <v>534</v>
      </c>
      <c r="M26" s="370">
        <f>M19/'06'!I11</f>
        <v>0.6364989580232212</v>
      </c>
      <c r="N26" s="364"/>
      <c r="O26" s="364"/>
      <c r="P26" s="361"/>
      <c r="R26" s="355"/>
    </row>
    <row r="27" spans="11:18" ht="24.75" customHeight="1">
      <c r="K27" s="358"/>
      <c r="L27" s="368" t="s">
        <v>535</v>
      </c>
      <c r="M27" s="371">
        <f>'[7]M6 Tong hop Viec CHV '!$H$12/'[7]M6 Tong hop Viec CHV '!$F$12</f>
        <v>0.6726618705035972</v>
      </c>
      <c r="N27" s="364"/>
      <c r="O27" s="364"/>
      <c r="P27" s="361"/>
      <c r="R27" s="355"/>
    </row>
    <row r="28" spans="11:18" ht="24.75" customHeight="1" hidden="1">
      <c r="K28" s="358"/>
      <c r="L28" s="363"/>
      <c r="M28" s="364"/>
      <c r="N28" s="364"/>
      <c r="O28" s="364"/>
      <c r="P28" s="361"/>
      <c r="R28" s="355"/>
    </row>
    <row r="29" spans="11:18" ht="24.75" customHeight="1" hidden="1">
      <c r="K29" s="358"/>
      <c r="L29" s="363"/>
      <c r="M29" s="364"/>
      <c r="N29" s="364"/>
      <c r="O29" s="364"/>
      <c r="P29" s="361"/>
      <c r="R29" s="355"/>
    </row>
    <row r="30" spans="11:18" ht="24.75" customHeight="1">
      <c r="K30" s="358"/>
      <c r="L30" s="376" t="s">
        <v>536</v>
      </c>
      <c r="M30" s="370">
        <f>M26-M27</f>
        <v>-0.03616291248037595</v>
      </c>
      <c r="N30" s="364"/>
      <c r="O30" s="364"/>
      <c r="P30" s="361"/>
      <c r="R30" s="355"/>
    </row>
    <row r="31" spans="11:18" ht="24.75" customHeight="1">
      <c r="K31" s="358"/>
      <c r="L31" s="363" t="s">
        <v>537</v>
      </c>
      <c r="M31" s="364">
        <f>'06'!R11</f>
        <v>8864</v>
      </c>
      <c r="N31" s="364"/>
      <c r="O31" s="364"/>
      <c r="P31" s="361"/>
      <c r="R31" s="355"/>
    </row>
    <row r="32" spans="11:18" ht="24.75" customHeight="1">
      <c r="K32" s="358"/>
      <c r="L32" s="368" t="s">
        <v>538</v>
      </c>
      <c r="M32" s="369">
        <f>'[7]M6 Tong hop Viec CHV '!$R$12</f>
        <v>719</v>
      </c>
      <c r="N32" s="364"/>
      <c r="O32" s="364"/>
      <c r="P32" s="361"/>
      <c r="R32" s="355"/>
    </row>
    <row r="33" spans="11:18" ht="24.75" customHeight="1">
      <c r="K33" s="358"/>
      <c r="L33" s="376" t="s">
        <v>539</v>
      </c>
      <c r="M33" s="378">
        <f>M31-M32</f>
        <v>8145</v>
      </c>
      <c r="N33" s="378" t="s">
        <v>489</v>
      </c>
      <c r="O33" s="377">
        <f>(M31-M32)/M32</f>
        <v>11.328233657858137</v>
      </c>
      <c r="P33" s="361"/>
      <c r="R33" s="355"/>
    </row>
    <row r="34" spans="11:18" ht="24.75" customHeight="1">
      <c r="K34" s="358"/>
      <c r="L34" s="380"/>
      <c r="M34" s="381"/>
      <c r="N34" s="381"/>
      <c r="O34" s="382"/>
      <c r="P34" s="361"/>
      <c r="R34" s="355"/>
    </row>
    <row r="35" spans="11:18" ht="24.75" customHeight="1">
      <c r="K35" s="358"/>
      <c r="L35" s="383"/>
      <c r="M35" s="384"/>
      <c r="N35" s="384"/>
      <c r="O35" s="385"/>
      <c r="P35" s="361"/>
      <c r="R35" s="355"/>
    </row>
    <row r="36" spans="11:18" ht="24.75" customHeight="1" hidden="1">
      <c r="K36" s="358"/>
      <c r="L36" s="38"/>
      <c r="M36" s="39"/>
      <c r="N36" s="39"/>
      <c r="O36" s="39"/>
      <c r="P36" s="361"/>
      <c r="R36" s="355"/>
    </row>
    <row r="37" spans="11:18" ht="24.75" customHeight="1" hidden="1">
      <c r="K37" s="358"/>
      <c r="L37" s="38"/>
      <c r="M37" s="39"/>
      <c r="N37" s="39"/>
      <c r="O37" s="39"/>
      <c r="P37" s="361"/>
      <c r="R37" s="355"/>
    </row>
    <row r="38" spans="11:18" ht="24.75" customHeight="1" hidden="1">
      <c r="K38" s="358"/>
      <c r="L38" s="38"/>
      <c r="M38" s="39"/>
      <c r="N38" s="39"/>
      <c r="O38" s="39"/>
      <c r="P38" s="361"/>
      <c r="R38" s="355"/>
    </row>
    <row r="39" spans="11:18" ht="24.75" customHeight="1">
      <c r="K39" s="358"/>
      <c r="L39" s="379" t="s">
        <v>491</v>
      </c>
      <c r="M39" s="39"/>
      <c r="N39" s="39"/>
      <c r="O39" s="39"/>
      <c r="P39" s="361"/>
      <c r="R39" s="355"/>
    </row>
    <row r="40" spans="11:18" ht="24.75" customHeight="1" hidden="1">
      <c r="K40" s="358"/>
      <c r="L40" s="38"/>
      <c r="M40" s="38"/>
      <c r="N40" s="38"/>
      <c r="O40" s="38"/>
      <c r="P40" s="355"/>
      <c r="R40" s="355"/>
    </row>
    <row r="41" spans="11:18" ht="24.75" customHeight="1" hidden="1">
      <c r="K41" s="358"/>
      <c r="L41" s="38"/>
      <c r="M41" s="38"/>
      <c r="N41" s="38"/>
      <c r="O41" s="38"/>
      <c r="P41" s="355"/>
      <c r="R41" s="355"/>
    </row>
    <row r="42" spans="11:18" ht="24.75" customHeight="1">
      <c r="K42" s="358"/>
      <c r="L42" s="372" t="s">
        <v>540</v>
      </c>
      <c r="M42" s="364">
        <f>'07'!C11</f>
        <v>4551083449</v>
      </c>
      <c r="N42" s="364"/>
      <c r="O42" s="364"/>
      <c r="P42" s="355"/>
      <c r="R42" s="355"/>
    </row>
    <row r="43" spans="11:18" ht="24.75" customHeight="1">
      <c r="K43" s="358"/>
      <c r="L43" s="372" t="s">
        <v>132</v>
      </c>
      <c r="M43" s="364">
        <f>'07'!D11</f>
        <v>3387427825</v>
      </c>
      <c r="N43" s="364"/>
      <c r="O43" s="364"/>
      <c r="P43" s="355"/>
      <c r="R43" s="355"/>
    </row>
    <row r="44" spans="11:18" ht="24.75" customHeight="1">
      <c r="K44" s="358"/>
      <c r="L44" s="372" t="s">
        <v>485</v>
      </c>
      <c r="M44" s="364">
        <f>'07'!E11</f>
        <v>1163655624</v>
      </c>
      <c r="N44" s="364"/>
      <c r="O44" s="364"/>
      <c r="P44" s="355"/>
      <c r="R44" s="355"/>
    </row>
    <row r="45" spans="11:18" ht="24.75" customHeight="1" hidden="1">
      <c r="K45" s="358"/>
      <c r="L45" s="38"/>
      <c r="M45" s="364"/>
      <c r="N45" s="364"/>
      <c r="O45" s="364"/>
      <c r="P45" s="355"/>
      <c r="R45" s="355"/>
    </row>
    <row r="46" spans="11:18" ht="24.75" customHeight="1" hidden="1">
      <c r="K46" s="358"/>
      <c r="L46" s="38"/>
      <c r="M46" s="364"/>
      <c r="N46" s="364"/>
      <c r="O46" s="364"/>
      <c r="P46" s="355"/>
      <c r="R46" s="355"/>
    </row>
    <row r="47" spans="11:18" ht="24.75" customHeight="1">
      <c r="K47" s="358"/>
      <c r="L47" s="372" t="s">
        <v>541</v>
      </c>
      <c r="M47" s="364">
        <f>'07'!F11</f>
        <v>333883421</v>
      </c>
      <c r="N47" s="364"/>
      <c r="O47" s="364"/>
      <c r="P47" s="355"/>
      <c r="R47" s="355"/>
    </row>
    <row r="48" spans="11:18" ht="24.75" customHeight="1" hidden="1">
      <c r="K48" s="358"/>
      <c r="L48" s="38"/>
      <c r="M48" s="364"/>
      <c r="N48" s="364"/>
      <c r="O48" s="364"/>
      <c r="P48" s="355"/>
      <c r="R48" s="355"/>
    </row>
    <row r="49" spans="11:18" ht="24.75" customHeight="1" hidden="1">
      <c r="K49" s="358"/>
      <c r="L49" s="38"/>
      <c r="M49" s="364"/>
      <c r="N49" s="364"/>
      <c r="O49" s="364"/>
      <c r="P49" s="355"/>
      <c r="R49" s="355"/>
    </row>
    <row r="50" spans="11:18" ht="24.75" customHeight="1">
      <c r="K50" s="358"/>
      <c r="L50" s="372" t="s">
        <v>542</v>
      </c>
      <c r="M50" s="364">
        <f>'07'!H11</f>
        <v>4217200028</v>
      </c>
      <c r="N50" s="364"/>
      <c r="O50" s="364"/>
      <c r="P50" s="355"/>
      <c r="R50" s="355"/>
    </row>
    <row r="51" spans="11:18" ht="24.75" customHeight="1">
      <c r="K51" s="358"/>
      <c r="L51" s="373" t="s">
        <v>543</v>
      </c>
      <c r="M51" s="369">
        <f>'[7]M7 Thop tien CHV'!$C$12</f>
        <v>54227822.442</v>
      </c>
      <c r="N51" s="364"/>
      <c r="O51" s="364"/>
      <c r="P51" s="355"/>
      <c r="R51" s="355"/>
    </row>
    <row r="52" spans="11:18" ht="24.75" customHeight="1">
      <c r="K52" s="358"/>
      <c r="L52" s="386" t="s">
        <v>492</v>
      </c>
      <c r="M52" s="378">
        <f>M50-M51</f>
        <v>4162972205.558</v>
      </c>
      <c r="N52" s="364"/>
      <c r="O52" s="364"/>
      <c r="P52" s="355"/>
      <c r="R52" s="355"/>
    </row>
    <row r="53" spans="11:18" ht="24.75" customHeight="1">
      <c r="K53" s="358"/>
      <c r="L53" s="386" t="s">
        <v>493</v>
      </c>
      <c r="M53" s="377">
        <f>(M52/M51)</f>
        <v>76.76819791188473</v>
      </c>
      <c r="N53" s="364"/>
      <c r="O53" s="364"/>
      <c r="P53" s="355"/>
      <c r="R53" s="355"/>
    </row>
    <row r="54" spans="11:18" ht="24.75" customHeight="1">
      <c r="K54" s="358"/>
      <c r="L54" s="372" t="s">
        <v>544</v>
      </c>
      <c r="M54" s="364">
        <f>'07'!I11</f>
        <v>3060087730</v>
      </c>
      <c r="N54" s="364" t="s">
        <v>494</v>
      </c>
      <c r="O54" s="370">
        <f>'07'!I11/'07'!H11</f>
        <v>0.7256207222049273</v>
      </c>
      <c r="P54" s="355"/>
      <c r="R54" s="355"/>
    </row>
    <row r="55" spans="11:18" ht="24.75" customHeight="1">
      <c r="K55" s="358"/>
      <c r="L55" s="372" t="s">
        <v>545</v>
      </c>
      <c r="M55" s="364">
        <f>'07'!R11</f>
        <v>1157112298</v>
      </c>
      <c r="N55" s="364" t="s">
        <v>494</v>
      </c>
      <c r="O55" s="370">
        <f>'07'!R11/'07'!H11</f>
        <v>0.2743792777950726</v>
      </c>
      <c r="P55" s="355"/>
      <c r="R55" s="355"/>
    </row>
    <row r="56" spans="11:18" ht="24.75" customHeight="1">
      <c r="K56" s="358"/>
      <c r="L56" s="372" t="s">
        <v>546</v>
      </c>
      <c r="M56" s="364">
        <f>'07'!J11+'07'!K11+'07'!L11</f>
        <v>1022199608</v>
      </c>
      <c r="N56" s="364" t="s">
        <v>494</v>
      </c>
      <c r="O56" s="370">
        <f>M56/'07'!H11</f>
        <v>0.24238821995948256</v>
      </c>
      <c r="P56" s="355"/>
      <c r="R56" s="355"/>
    </row>
    <row r="57" spans="11:18" ht="24.75" customHeight="1">
      <c r="K57" s="358"/>
      <c r="L57" s="373" t="s">
        <v>547</v>
      </c>
      <c r="M57" s="369">
        <f>'[7]M7 Thop tien CHV'!$H$12+'[7]M7 Thop tien CHV'!$I$12+'[7]M7 Thop tien CHV'!$K$12</f>
        <v>2217726.5</v>
      </c>
      <c r="N57" s="369" t="s">
        <v>494</v>
      </c>
      <c r="O57" s="370">
        <f>M57/M51</f>
        <v>0.040896469748015335</v>
      </c>
      <c r="P57" s="355"/>
      <c r="R57" s="355"/>
    </row>
    <row r="58" spans="11:18" ht="24.75" customHeight="1" hidden="1">
      <c r="K58" s="358"/>
      <c r="L58" s="38"/>
      <c r="M58" s="364"/>
      <c r="N58" s="364"/>
      <c r="O58" s="370"/>
      <c r="P58" s="355"/>
      <c r="R58" s="355"/>
    </row>
    <row r="59" spans="11:18" ht="24.75" customHeight="1" hidden="1">
      <c r="K59" s="358"/>
      <c r="L59" s="38"/>
      <c r="M59" s="364"/>
      <c r="N59" s="364"/>
      <c r="O59" s="370"/>
      <c r="P59" s="355"/>
      <c r="R59" s="355"/>
    </row>
    <row r="60" spans="11:18" ht="24.75" customHeight="1">
      <c r="K60" s="358"/>
      <c r="L60" s="386" t="s">
        <v>548</v>
      </c>
      <c r="M60" s="377">
        <f>O56-O57</f>
        <v>0.20149175021146723</v>
      </c>
      <c r="N60" s="378"/>
      <c r="O60" s="370"/>
      <c r="P60" s="355"/>
      <c r="R60" s="355"/>
    </row>
    <row r="61" spans="11:18" ht="24.75" customHeight="1" hidden="1">
      <c r="K61" s="358"/>
      <c r="L61" s="38"/>
      <c r="M61" s="364"/>
      <c r="N61" s="364"/>
      <c r="O61" s="370"/>
      <c r="P61" s="355"/>
      <c r="R61" s="355"/>
    </row>
    <row r="62" spans="11:18" ht="24.75" customHeight="1" hidden="1">
      <c r="K62" s="358"/>
      <c r="L62" s="38"/>
      <c r="M62" s="364"/>
      <c r="N62" s="364"/>
      <c r="O62" s="370"/>
      <c r="P62" s="355"/>
      <c r="R62" s="355"/>
    </row>
    <row r="63" spans="11:18" ht="24.75" customHeight="1">
      <c r="K63" s="358"/>
      <c r="L63" s="372" t="s">
        <v>549</v>
      </c>
      <c r="M63" s="364">
        <f>'07'!J11</f>
        <v>455165909</v>
      </c>
      <c r="N63" s="364" t="s">
        <v>495</v>
      </c>
      <c r="O63" s="370">
        <f>'07'!J11/'07'!I11</f>
        <v>0.14874276463962685</v>
      </c>
      <c r="P63" s="355"/>
      <c r="R63" s="355"/>
    </row>
    <row r="64" spans="11:16" ht="24.75" customHeight="1">
      <c r="K64" s="358"/>
      <c r="L64" s="373" t="s">
        <v>550</v>
      </c>
      <c r="M64" s="369">
        <f>'[7]M7 Thop tien CHV'!$H$12</f>
        <v>2212774.5</v>
      </c>
      <c r="N64" s="369" t="s">
        <v>496</v>
      </c>
      <c r="O64" s="370">
        <f>'[6]M7 Thop tien CHV'!$H$12/'[6]M7 Thop tien CHV'!$F$12</f>
        <v>0.014243501319813655</v>
      </c>
      <c r="P64" s="355"/>
    </row>
    <row r="65" spans="11:16" ht="24.75" customHeight="1" hidden="1">
      <c r="K65" s="358"/>
      <c r="L65" s="38"/>
      <c r="M65" s="364"/>
      <c r="N65" s="364"/>
      <c r="O65" s="364"/>
      <c r="P65" s="355"/>
    </row>
    <row r="66" spans="11:16" ht="24.75" customHeight="1" hidden="1">
      <c r="K66" s="358"/>
      <c r="L66" s="38"/>
      <c r="M66" s="364"/>
      <c r="N66" s="364"/>
      <c r="O66" s="364"/>
      <c r="P66" s="355"/>
    </row>
    <row r="67" spans="11:16" ht="24.75" customHeight="1" hidden="1">
      <c r="K67" s="358"/>
      <c r="L67" s="38"/>
      <c r="M67" s="364"/>
      <c r="N67" s="364"/>
      <c r="O67" s="364"/>
      <c r="P67" s="355"/>
    </row>
    <row r="68" spans="11:16" ht="24.75" customHeight="1">
      <c r="K68" s="358"/>
      <c r="L68" s="386" t="s">
        <v>551</v>
      </c>
      <c r="M68" s="377">
        <f>O63-O64</f>
        <v>0.13449926331981318</v>
      </c>
      <c r="N68" s="364"/>
      <c r="O68" s="364"/>
      <c r="P68" s="355"/>
    </row>
    <row r="69" spans="11:16" ht="24.75" customHeight="1" hidden="1">
      <c r="K69" s="358"/>
      <c r="L69" s="38"/>
      <c r="M69" s="364"/>
      <c r="N69" s="364"/>
      <c r="O69" s="364"/>
      <c r="P69" s="355"/>
    </row>
    <row r="70" spans="11:16" ht="24.75" customHeight="1" hidden="1">
      <c r="K70" s="358"/>
      <c r="L70" s="38"/>
      <c r="M70" s="364"/>
      <c r="N70" s="364"/>
      <c r="O70" s="364"/>
      <c r="P70" s="355"/>
    </row>
    <row r="71" spans="11:16" ht="24.75" customHeight="1" hidden="1">
      <c r="K71" s="358"/>
      <c r="L71" s="38"/>
      <c r="M71" s="364"/>
      <c r="N71" s="364"/>
      <c r="O71" s="364"/>
      <c r="P71" s="355"/>
    </row>
    <row r="72" spans="11:16" ht="24.75" customHeight="1">
      <c r="K72" s="358"/>
      <c r="L72" s="372" t="s">
        <v>552</v>
      </c>
      <c r="M72" s="364">
        <f>'07'!S11</f>
        <v>3195000420</v>
      </c>
      <c r="N72" s="364"/>
      <c r="O72" s="364"/>
      <c r="P72" s="355"/>
    </row>
    <row r="73" spans="11:16" ht="24.75" customHeight="1">
      <c r="K73" s="358"/>
      <c r="L73" s="373" t="s">
        <v>553</v>
      </c>
      <c r="M73" s="369">
        <f>'[7]M7 Thop tien CHV'!$R$12</f>
        <v>48126810.362</v>
      </c>
      <c r="N73" s="364"/>
      <c r="O73" s="364"/>
      <c r="P73" s="355"/>
    </row>
    <row r="74" spans="11:16" ht="24.75" customHeight="1" hidden="1">
      <c r="K74" s="358"/>
      <c r="L74" s="38"/>
      <c r="M74" s="38"/>
      <c r="N74" s="38"/>
      <c r="O74" s="38"/>
      <c r="P74" s="355"/>
    </row>
    <row r="75" spans="11:16" ht="24.75" customHeight="1" hidden="1">
      <c r="K75" s="358"/>
      <c r="L75" s="38"/>
      <c r="M75" s="38"/>
      <c r="N75" s="38"/>
      <c r="O75" s="38"/>
      <c r="P75" s="355"/>
    </row>
    <row r="76" spans="11:16" ht="24.75" customHeight="1">
      <c r="K76" s="358"/>
      <c r="L76" s="386" t="s">
        <v>497</v>
      </c>
      <c r="M76" s="378">
        <f>M72-M73</f>
        <v>3146873609.638</v>
      </c>
      <c r="N76" s="38"/>
      <c r="O76" s="38"/>
      <c r="P76" s="355"/>
    </row>
    <row r="77" spans="11:16" ht="24.75" customHeight="1" hidden="1">
      <c r="K77" s="358"/>
      <c r="L77" s="386"/>
      <c r="M77" s="386"/>
      <c r="N77" s="38"/>
      <c r="O77" s="38"/>
      <c r="P77" s="355"/>
    </row>
    <row r="78" spans="11:16" ht="24.75" customHeight="1" hidden="1">
      <c r="K78" s="358"/>
      <c r="L78" s="386"/>
      <c r="M78" s="386"/>
      <c r="N78" s="38"/>
      <c r="O78" s="38"/>
      <c r="P78" s="355"/>
    </row>
    <row r="79" spans="11:16" ht="24.75" customHeight="1">
      <c r="K79" s="358"/>
      <c r="L79" s="386" t="s">
        <v>498</v>
      </c>
      <c r="M79" s="377">
        <f>M76/M73</f>
        <v>65.38712177199905</v>
      </c>
      <c r="N79" s="38"/>
      <c r="O79" s="38"/>
      <c r="P79" s="355"/>
    </row>
    <row r="80" spans="11:16" ht="24.75" customHeight="1">
      <c r="K80" s="358"/>
      <c r="L80" s="38"/>
      <c r="M80" s="38"/>
      <c r="N80" s="38"/>
      <c r="O80" s="38"/>
      <c r="P80" s="355"/>
    </row>
    <row r="81" spans="11:16" ht="24.75" customHeight="1">
      <c r="K81" s="358"/>
      <c r="L81" s="38"/>
      <c r="M81" s="38"/>
      <c r="N81" s="38"/>
      <c r="O81" s="38"/>
      <c r="P81" s="355"/>
    </row>
    <row r="82" spans="11:16" ht="24.75" customHeight="1" hidden="1">
      <c r="K82" s="358"/>
      <c r="L82" s="38"/>
      <c r="M82" s="38"/>
      <c r="N82" s="38"/>
      <c r="O82" s="38"/>
      <c r="P82" s="355"/>
    </row>
    <row r="83" spans="11:16" ht="24.75" customHeight="1" hidden="1">
      <c r="K83" s="358"/>
      <c r="L83" s="38"/>
      <c r="M83" s="38"/>
      <c r="N83" s="38"/>
      <c r="O83" s="38"/>
      <c r="P83" s="355"/>
    </row>
    <row r="84" spans="11:16" ht="24.75" customHeight="1">
      <c r="K84" s="358"/>
      <c r="L84" s="38"/>
      <c r="M84" s="38"/>
      <c r="N84" s="38"/>
      <c r="O84" s="38"/>
      <c r="P84" s="355"/>
    </row>
    <row r="85" spans="11:16" ht="24.75" customHeight="1" hidden="1">
      <c r="K85" s="358"/>
      <c r="L85" s="38"/>
      <c r="M85" s="38"/>
      <c r="N85" s="38"/>
      <c r="O85" s="38"/>
      <c r="P85" s="355"/>
    </row>
    <row r="86" spans="11:16" ht="24.75" customHeight="1" hidden="1">
      <c r="K86" s="358"/>
      <c r="L86" s="38"/>
      <c r="M86" s="38"/>
      <c r="N86" s="38"/>
      <c r="O86" s="38"/>
      <c r="P86" s="355"/>
    </row>
    <row r="87" spans="11:16" ht="24.75" customHeight="1">
      <c r="K87" s="358"/>
      <c r="L87" s="38"/>
      <c r="M87" s="38"/>
      <c r="N87" s="38"/>
      <c r="O87" s="38"/>
      <c r="P87" s="355"/>
    </row>
    <row r="88" spans="11:16" ht="24.75" customHeight="1">
      <c r="K88" s="358"/>
      <c r="L88" s="38"/>
      <c r="M88" s="38"/>
      <c r="N88" s="38"/>
      <c r="O88" s="38"/>
      <c r="P88" s="355"/>
    </row>
    <row r="89" spans="11:16" ht="24.75" customHeight="1" hidden="1">
      <c r="K89" s="358"/>
      <c r="L89" s="38"/>
      <c r="M89" s="38"/>
      <c r="N89" s="38"/>
      <c r="O89" s="38"/>
      <c r="P89" s="355"/>
    </row>
    <row r="90" spans="11:16" ht="24.75" customHeight="1" hidden="1">
      <c r="K90" s="358"/>
      <c r="L90" s="38"/>
      <c r="M90" s="38"/>
      <c r="N90" s="38"/>
      <c r="O90" s="38"/>
      <c r="P90" s="355"/>
    </row>
    <row r="91" spans="11:16" ht="24.75" customHeight="1" hidden="1">
      <c r="K91" s="358"/>
      <c r="L91" s="38"/>
      <c r="M91" s="38"/>
      <c r="N91" s="38"/>
      <c r="O91" s="38"/>
      <c r="P91" s="355"/>
    </row>
    <row r="92" spans="11:16" ht="24.75" customHeight="1">
      <c r="K92" s="358"/>
      <c r="L92" s="38"/>
      <c r="M92" s="38"/>
      <c r="N92" s="38"/>
      <c r="O92" s="38"/>
      <c r="P92" s="355"/>
    </row>
    <row r="93" spans="11:16" ht="24.75" customHeight="1" hidden="1">
      <c r="K93" s="358"/>
      <c r="L93" s="38"/>
      <c r="M93" s="38"/>
      <c r="N93" s="38"/>
      <c r="O93" s="38"/>
      <c r="P93" s="355"/>
    </row>
    <row r="94" spans="11:16" ht="24.75" customHeight="1" hidden="1">
      <c r="K94" s="358"/>
      <c r="L94" s="38"/>
      <c r="M94" s="38"/>
      <c r="N94" s="38"/>
      <c r="O94" s="38"/>
      <c r="P94" s="355"/>
    </row>
    <row r="95" spans="11:16" ht="24.75" customHeight="1">
      <c r="K95" s="358"/>
      <c r="L95" s="38"/>
      <c r="M95" s="38"/>
      <c r="N95" s="38"/>
      <c r="O95" s="38"/>
      <c r="P95" s="355"/>
    </row>
    <row r="96" spans="11:16" ht="24.75" customHeight="1">
      <c r="K96" s="358"/>
      <c r="L96" s="38"/>
      <c r="M96" s="38"/>
      <c r="N96" s="38"/>
      <c r="O96" s="38"/>
      <c r="P96" s="355"/>
    </row>
    <row r="97" spans="11:16" ht="24.75" customHeight="1" hidden="1">
      <c r="K97" s="358"/>
      <c r="L97" s="38"/>
      <c r="M97" s="38"/>
      <c r="N97" s="38"/>
      <c r="O97" s="38"/>
      <c r="P97" s="355"/>
    </row>
    <row r="98" spans="11:16" ht="24.75" customHeight="1" hidden="1">
      <c r="K98" s="358"/>
      <c r="L98" s="38"/>
      <c r="M98" s="38"/>
      <c r="N98" s="38"/>
      <c r="O98" s="38"/>
      <c r="P98" s="355"/>
    </row>
    <row r="99" spans="11:16" ht="24.75" customHeight="1" hidden="1">
      <c r="K99" s="358"/>
      <c r="L99" s="38"/>
      <c r="M99" s="38"/>
      <c r="N99" s="38"/>
      <c r="O99" s="38"/>
      <c r="P99" s="355"/>
    </row>
    <row r="100" spans="11:16" ht="24.75" customHeight="1">
      <c r="K100" s="358"/>
      <c r="L100" s="38"/>
      <c r="M100" s="38"/>
      <c r="N100" s="38"/>
      <c r="O100" s="38"/>
      <c r="P100" s="355"/>
    </row>
    <row r="101" spans="11:16" ht="24.75" customHeight="1" hidden="1">
      <c r="K101" s="358"/>
      <c r="L101" s="38"/>
      <c r="M101" s="38"/>
      <c r="N101" s="38"/>
      <c r="O101" s="38"/>
      <c r="P101" s="355"/>
    </row>
    <row r="102" spans="11:16" ht="24.75" customHeight="1" hidden="1">
      <c r="K102" s="358"/>
      <c r="L102" s="38"/>
      <c r="M102" s="38"/>
      <c r="N102" s="38"/>
      <c r="O102" s="38"/>
      <c r="P102" s="355"/>
    </row>
    <row r="103" spans="11:16" ht="24.75" customHeight="1">
      <c r="K103" s="358"/>
      <c r="L103" s="38"/>
      <c r="M103" s="38"/>
      <c r="N103" s="38"/>
      <c r="O103" s="38"/>
      <c r="P103" s="355"/>
    </row>
    <row r="104" spans="11:16" ht="24.75" customHeight="1">
      <c r="K104" s="358"/>
      <c r="L104" s="38"/>
      <c r="M104" s="38"/>
      <c r="N104" s="38"/>
      <c r="O104" s="38"/>
      <c r="P104" s="355"/>
    </row>
    <row r="105" spans="11:16" ht="24.75" customHeight="1">
      <c r="K105" s="358"/>
      <c r="L105" s="38"/>
      <c r="M105" s="38"/>
      <c r="N105" s="38"/>
      <c r="O105" s="38"/>
      <c r="P105" s="355"/>
    </row>
    <row r="106" spans="11:16" ht="24.75" customHeight="1">
      <c r="K106" s="358"/>
      <c r="L106" s="38"/>
      <c r="M106" s="38"/>
      <c r="N106" s="38"/>
      <c r="O106" s="38"/>
      <c r="P106" s="355"/>
    </row>
    <row r="107" spans="11:16" ht="24.75" customHeight="1" hidden="1">
      <c r="K107" s="358"/>
      <c r="L107" s="38"/>
      <c r="M107" s="38"/>
      <c r="N107" s="38"/>
      <c r="O107" s="38"/>
      <c r="P107" s="355"/>
    </row>
    <row r="108" spans="11:16" ht="24.75" customHeight="1" hidden="1">
      <c r="K108" s="358"/>
      <c r="L108" s="38"/>
      <c r="M108" s="38"/>
      <c r="N108" s="38"/>
      <c r="O108" s="38"/>
      <c r="P108" s="355"/>
    </row>
    <row r="109" spans="11:16" ht="24.75" customHeight="1">
      <c r="K109" s="358"/>
      <c r="L109" s="38"/>
      <c r="M109" s="38"/>
      <c r="N109" s="38"/>
      <c r="O109" s="38"/>
      <c r="P109" s="355"/>
    </row>
    <row r="110" spans="11:16" ht="24.75" customHeight="1" hidden="1">
      <c r="K110" s="358"/>
      <c r="L110" s="38"/>
      <c r="M110" s="38"/>
      <c r="N110" s="38"/>
      <c r="O110" s="38"/>
      <c r="P110" s="355"/>
    </row>
    <row r="111" spans="11:16" ht="24.75" customHeight="1" hidden="1">
      <c r="K111" s="358"/>
      <c r="L111" s="38"/>
      <c r="M111" s="38"/>
      <c r="N111" s="38"/>
      <c r="O111" s="38"/>
      <c r="P111" s="355"/>
    </row>
    <row r="112" spans="11:16" ht="24.75" customHeight="1">
      <c r="K112" s="358"/>
      <c r="L112" s="38"/>
      <c r="M112" s="38"/>
      <c r="N112" s="38"/>
      <c r="O112" s="38"/>
      <c r="P112" s="355"/>
    </row>
    <row r="113" spans="12:15" ht="24.75" customHeight="1">
      <c r="L113" s="362"/>
      <c r="M113" s="362"/>
      <c r="N113" s="362"/>
      <c r="O113" s="362"/>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52" customFormat="1" ht="29.25" customHeight="1"/>
    <row r="129" s="353"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H5" sqref="H5"/>
    </sheetView>
  </sheetViews>
  <sheetFormatPr defaultColWidth="9.00390625" defaultRowHeight="15.75"/>
  <cols>
    <col min="1" max="1" width="23.50390625" style="0" customWidth="1"/>
    <col min="2" max="2" width="66.125" style="0" customWidth="1"/>
  </cols>
  <sheetData>
    <row r="2" spans="1:2" ht="62.25" customHeight="1">
      <c r="A2" s="1440" t="s">
        <v>582</v>
      </c>
      <c r="B2" s="1440"/>
    </row>
    <row r="3" spans="1:2" ht="22.5" customHeight="1">
      <c r="A3" s="509" t="s">
        <v>558</v>
      </c>
      <c r="B3" s="547" t="s">
        <v>857</v>
      </c>
    </row>
    <row r="4" spans="1:2" ht="22.5" customHeight="1">
      <c r="A4" s="509" t="s">
        <v>556</v>
      </c>
      <c r="B4" s="510" t="s">
        <v>803</v>
      </c>
    </row>
    <row r="5" spans="1:2" ht="22.5" customHeight="1">
      <c r="A5" s="509" t="s">
        <v>559</v>
      </c>
      <c r="B5" s="546" t="s">
        <v>802</v>
      </c>
    </row>
    <row r="6" spans="1:2" ht="22.5" customHeight="1">
      <c r="A6" s="509" t="s">
        <v>560</v>
      </c>
      <c r="B6" s="546" t="s">
        <v>680</v>
      </c>
    </row>
    <row r="7" spans="1:2" ht="34.5" customHeight="1">
      <c r="A7" s="509" t="s">
        <v>561</v>
      </c>
      <c r="B7" s="644" t="s">
        <v>804</v>
      </c>
    </row>
    <row r="8" spans="1:2" ht="15.75">
      <c r="A8" s="511" t="s">
        <v>562</v>
      </c>
      <c r="B8" s="645" t="s">
        <v>858</v>
      </c>
    </row>
    <row r="10" spans="1:2" ht="62.25" customHeight="1">
      <c r="A10" s="1441" t="s">
        <v>654</v>
      </c>
      <c r="B10" s="1441"/>
    </row>
    <row r="11" spans="1:2" ht="15.75">
      <c r="A11" s="1442" t="s">
        <v>581</v>
      </c>
      <c r="B11" s="1442"/>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0"/>
  </sheetPr>
  <dimension ref="A1:Q26"/>
  <sheetViews>
    <sheetView showZeros="0" view="pageBreakPreview" zoomScale="85" zoomScaleNormal="85" zoomScaleSheetLayoutView="85" zoomScalePageLayoutView="0" workbookViewId="0" topLeftCell="A14">
      <selection activeCell="C11" sqref="C11:N25"/>
    </sheetView>
  </sheetViews>
  <sheetFormatPr defaultColWidth="9.00390625" defaultRowHeight="15.75"/>
  <cols>
    <col min="1" max="1" width="4.125" style="438" customWidth="1"/>
    <col min="2" max="2" width="23.25390625" style="388" customWidth="1"/>
    <col min="3" max="3" width="11.875" style="388" customWidth="1"/>
    <col min="4" max="4" width="9.625" style="388" customWidth="1"/>
    <col min="5" max="5" width="9.50390625" style="388" customWidth="1"/>
    <col min="6" max="6" width="9.125" style="388" customWidth="1"/>
    <col min="7" max="7" width="8.375" style="388" customWidth="1"/>
    <col min="8" max="8" width="8.50390625" style="388" customWidth="1"/>
    <col min="9" max="11" width="7.75390625" style="388" customWidth="1"/>
    <col min="12" max="12" width="9.00390625" style="388" customWidth="1"/>
    <col min="13" max="13" width="9.50390625" style="388" customWidth="1"/>
    <col min="14" max="14" width="8.75390625" style="388" customWidth="1"/>
    <col min="15" max="16384" width="9.00390625" style="388" customWidth="1"/>
  </cols>
  <sheetData>
    <row r="1" spans="1:14" ht="19.5" customHeight="1">
      <c r="A1" s="1443" t="s">
        <v>29</v>
      </c>
      <c r="B1" s="1443"/>
      <c r="C1" s="416"/>
      <c r="D1" s="1444" t="s">
        <v>82</v>
      </c>
      <c r="E1" s="1444"/>
      <c r="F1" s="1444"/>
      <c r="G1" s="1444"/>
      <c r="H1" s="1444"/>
      <c r="I1" s="1444"/>
      <c r="J1" s="1444"/>
      <c r="K1" s="1444"/>
      <c r="L1" s="1445" t="s">
        <v>557</v>
      </c>
      <c r="M1" s="1445"/>
      <c r="N1" s="1445"/>
    </row>
    <row r="2" spans="1:16" ht="16.5" customHeight="1">
      <c r="A2" s="418" t="s">
        <v>344</v>
      </c>
      <c r="B2" s="418"/>
      <c r="C2" s="418"/>
      <c r="D2" s="1444" t="s">
        <v>118</v>
      </c>
      <c r="E2" s="1444"/>
      <c r="F2" s="1444"/>
      <c r="G2" s="1444"/>
      <c r="H2" s="1444"/>
      <c r="I2" s="1444"/>
      <c r="J2" s="1444"/>
      <c r="K2" s="1444"/>
      <c r="L2" s="1446" t="str">
        <f>'Thong tin'!B4</f>
        <v>CTHADS Hải Phòng</v>
      </c>
      <c r="M2" s="1446"/>
      <c r="N2" s="1446"/>
      <c r="P2" s="389"/>
    </row>
    <row r="3" spans="1:16" ht="16.5" customHeight="1">
      <c r="A3" s="418" t="s">
        <v>345</v>
      </c>
      <c r="B3" s="418"/>
      <c r="C3" s="415"/>
      <c r="D3" s="1450" t="str">
        <f>'Thong tin'!B3</f>
        <v>10 tháng / năm 2017</v>
      </c>
      <c r="E3" s="1450"/>
      <c r="F3" s="1450"/>
      <c r="G3" s="1450"/>
      <c r="H3" s="1450"/>
      <c r="I3" s="1450"/>
      <c r="J3" s="1450"/>
      <c r="K3" s="1450"/>
      <c r="L3" s="1445" t="s">
        <v>523</v>
      </c>
      <c r="M3" s="1445"/>
      <c r="N3" s="1445"/>
      <c r="P3" s="390"/>
    </row>
    <row r="4" spans="1:16" ht="16.5" customHeight="1">
      <c r="A4" s="419" t="s">
        <v>119</v>
      </c>
      <c r="B4" s="420"/>
      <c r="C4" s="421"/>
      <c r="D4" s="422"/>
      <c r="E4" s="422"/>
      <c r="F4" s="421"/>
      <c r="G4" s="423"/>
      <c r="H4" s="423"/>
      <c r="I4" s="423"/>
      <c r="J4" s="421"/>
      <c r="K4" s="422"/>
      <c r="L4" s="1446" t="s">
        <v>412</v>
      </c>
      <c r="M4" s="1446"/>
      <c r="N4" s="1446"/>
      <c r="P4" s="390"/>
    </row>
    <row r="5" spans="1:16" ht="16.5" customHeight="1">
      <c r="A5" s="424"/>
      <c r="B5" s="421"/>
      <c r="C5" s="421"/>
      <c r="D5" s="421"/>
      <c r="E5" s="421"/>
      <c r="F5" s="425"/>
      <c r="G5" s="426"/>
      <c r="H5" s="426"/>
      <c r="I5" s="426"/>
      <c r="J5" s="425"/>
      <c r="K5" s="427"/>
      <c r="L5" s="1447" t="s">
        <v>8</v>
      </c>
      <c r="M5" s="1447"/>
      <c r="N5" s="1447"/>
      <c r="P5" s="390"/>
    </row>
    <row r="6" spans="1:16" ht="18.75" customHeight="1">
      <c r="A6" s="1457" t="s">
        <v>69</v>
      </c>
      <c r="B6" s="1458"/>
      <c r="C6" s="1463" t="s">
        <v>38</v>
      </c>
      <c r="D6" s="1463" t="s">
        <v>337</v>
      </c>
      <c r="E6" s="1465"/>
      <c r="F6" s="1465"/>
      <c r="G6" s="1465"/>
      <c r="H6" s="1465"/>
      <c r="I6" s="1465"/>
      <c r="J6" s="1465"/>
      <c r="K6" s="1465"/>
      <c r="L6" s="1465"/>
      <c r="M6" s="1465"/>
      <c r="N6" s="1466"/>
      <c r="P6" s="390"/>
    </row>
    <row r="7" spans="1:16" ht="20.25" customHeight="1">
      <c r="A7" s="1459"/>
      <c r="B7" s="1460"/>
      <c r="C7" s="1464"/>
      <c r="D7" s="1467" t="s">
        <v>120</v>
      </c>
      <c r="E7" s="1469" t="s">
        <v>121</v>
      </c>
      <c r="F7" s="1470"/>
      <c r="G7" s="1471"/>
      <c r="H7" s="1448" t="s">
        <v>122</v>
      </c>
      <c r="I7" s="1448" t="s">
        <v>123</v>
      </c>
      <c r="J7" s="1448" t="s">
        <v>124</v>
      </c>
      <c r="K7" s="1448" t="s">
        <v>125</v>
      </c>
      <c r="L7" s="1448" t="s">
        <v>126</v>
      </c>
      <c r="M7" s="1448" t="s">
        <v>127</v>
      </c>
      <c r="N7" s="1448" t="s">
        <v>128</v>
      </c>
      <c r="O7" s="390"/>
      <c r="P7" s="390"/>
    </row>
    <row r="8" spans="1:16" ht="21" customHeight="1">
      <c r="A8" s="1459"/>
      <c r="B8" s="1460"/>
      <c r="C8" s="1464"/>
      <c r="D8" s="1467"/>
      <c r="E8" s="1456" t="s">
        <v>37</v>
      </c>
      <c r="F8" s="1452" t="s">
        <v>7</v>
      </c>
      <c r="G8" s="1453"/>
      <c r="H8" s="1448"/>
      <c r="I8" s="1448"/>
      <c r="J8" s="1448"/>
      <c r="K8" s="1448"/>
      <c r="L8" s="1448"/>
      <c r="M8" s="1448"/>
      <c r="N8" s="1448"/>
      <c r="O8" s="1451"/>
      <c r="P8" s="1451"/>
    </row>
    <row r="9" spans="1:16" ht="24.75" customHeight="1">
      <c r="A9" s="1461"/>
      <c r="B9" s="1462"/>
      <c r="C9" s="1464"/>
      <c r="D9" s="1468"/>
      <c r="E9" s="1449"/>
      <c r="F9" s="548" t="s">
        <v>200</v>
      </c>
      <c r="G9" s="549" t="s">
        <v>201</v>
      </c>
      <c r="H9" s="1449"/>
      <c r="I9" s="1449"/>
      <c r="J9" s="1449"/>
      <c r="K9" s="1449"/>
      <c r="L9" s="1449"/>
      <c r="M9" s="1449"/>
      <c r="N9" s="1449"/>
      <c r="O9" s="391"/>
      <c r="P9" s="391"/>
    </row>
    <row r="10" spans="1:16" s="393" customFormat="1" ht="18.75" customHeight="1">
      <c r="A10" s="1454" t="s">
        <v>40</v>
      </c>
      <c r="B10" s="1455"/>
      <c r="C10" s="502">
        <v>1</v>
      </c>
      <c r="D10" s="502">
        <v>2</v>
      </c>
      <c r="E10" s="502">
        <v>3</v>
      </c>
      <c r="F10" s="502">
        <v>4</v>
      </c>
      <c r="G10" s="502">
        <v>5</v>
      </c>
      <c r="H10" s="502">
        <v>6</v>
      </c>
      <c r="I10" s="502">
        <v>7</v>
      </c>
      <c r="J10" s="502">
        <v>8</v>
      </c>
      <c r="K10" s="502">
        <v>9</v>
      </c>
      <c r="L10" s="502">
        <v>10</v>
      </c>
      <c r="M10" s="502">
        <v>11</v>
      </c>
      <c r="N10" s="502">
        <v>12</v>
      </c>
      <c r="O10" s="392"/>
      <c r="P10" s="392"/>
    </row>
    <row r="11" spans="1:17" ht="22.5" customHeight="1">
      <c r="A11" s="503" t="s">
        <v>0</v>
      </c>
      <c r="B11" s="429" t="s">
        <v>131</v>
      </c>
      <c r="C11" s="1891">
        <v>13779</v>
      </c>
      <c r="D11" s="1891">
        <v>1270</v>
      </c>
      <c r="E11" s="1891">
        <v>7047</v>
      </c>
      <c r="F11" s="1891">
        <v>2828</v>
      </c>
      <c r="G11" s="1891">
        <v>4219</v>
      </c>
      <c r="H11" s="1891">
        <v>36</v>
      </c>
      <c r="I11" s="1891">
        <v>4491</v>
      </c>
      <c r="J11" s="1891">
        <v>899</v>
      </c>
      <c r="K11" s="1891">
        <v>27</v>
      </c>
      <c r="L11" s="1891">
        <v>0</v>
      </c>
      <c r="M11" s="1891">
        <v>0</v>
      </c>
      <c r="N11" s="1891">
        <v>9</v>
      </c>
      <c r="O11" s="390"/>
      <c r="P11" s="390"/>
      <c r="Q11" s="430"/>
    </row>
    <row r="12" spans="1:16" ht="22.5" customHeight="1">
      <c r="A12" s="504">
        <v>1</v>
      </c>
      <c r="B12" s="432" t="s">
        <v>132</v>
      </c>
      <c r="C12" s="1891">
        <v>6609</v>
      </c>
      <c r="D12" s="1887">
        <v>720</v>
      </c>
      <c r="E12" s="1887">
        <v>4982</v>
      </c>
      <c r="F12" s="1888">
        <v>2294</v>
      </c>
      <c r="G12" s="1888">
        <v>2688</v>
      </c>
      <c r="H12" s="1888">
        <v>10</v>
      </c>
      <c r="I12" s="1888">
        <v>312</v>
      </c>
      <c r="J12" s="1888">
        <v>559</v>
      </c>
      <c r="K12" s="1888">
        <v>17</v>
      </c>
      <c r="L12" s="1888">
        <v>0</v>
      </c>
      <c r="M12" s="1888">
        <v>0</v>
      </c>
      <c r="N12" s="1888">
        <v>9</v>
      </c>
      <c r="O12" s="390"/>
      <c r="P12" s="390"/>
    </row>
    <row r="13" spans="1:16" ht="22.5" customHeight="1">
      <c r="A13" s="504">
        <v>2</v>
      </c>
      <c r="B13" s="432" t="s">
        <v>133</v>
      </c>
      <c r="C13" s="1891">
        <v>7170</v>
      </c>
      <c r="D13" s="1887">
        <v>550</v>
      </c>
      <c r="E13" s="1887">
        <v>2065</v>
      </c>
      <c r="F13" s="1888">
        <v>534</v>
      </c>
      <c r="G13" s="1888">
        <v>1531</v>
      </c>
      <c r="H13" s="1888">
        <v>26</v>
      </c>
      <c r="I13" s="1888">
        <v>4179</v>
      </c>
      <c r="J13" s="1888">
        <v>340</v>
      </c>
      <c r="K13" s="1888">
        <v>10</v>
      </c>
      <c r="L13" s="1888">
        <v>0</v>
      </c>
      <c r="M13" s="1888">
        <v>0</v>
      </c>
      <c r="N13" s="1888">
        <v>0</v>
      </c>
      <c r="O13" s="390"/>
      <c r="P13" s="390"/>
    </row>
    <row r="14" spans="1:16" ht="22.5" customHeight="1">
      <c r="A14" s="505" t="s">
        <v>1</v>
      </c>
      <c r="B14" s="395" t="s">
        <v>134</v>
      </c>
      <c r="C14" s="1891">
        <v>183</v>
      </c>
      <c r="D14" s="1887">
        <v>22</v>
      </c>
      <c r="E14" s="1887">
        <v>141</v>
      </c>
      <c r="F14" s="1888">
        <v>27</v>
      </c>
      <c r="G14" s="1888">
        <v>114</v>
      </c>
      <c r="H14" s="1888">
        <v>0</v>
      </c>
      <c r="I14" s="1888">
        <v>2</v>
      </c>
      <c r="J14" s="1888">
        <v>18</v>
      </c>
      <c r="K14" s="1888">
        <v>0</v>
      </c>
      <c r="L14" s="1888">
        <v>0</v>
      </c>
      <c r="M14" s="1888">
        <v>0</v>
      </c>
      <c r="N14" s="1888">
        <v>0</v>
      </c>
      <c r="O14" s="390"/>
      <c r="P14" s="390"/>
    </row>
    <row r="15" spans="1:16" ht="22.5" customHeight="1">
      <c r="A15" s="505" t="s">
        <v>9</v>
      </c>
      <c r="B15" s="395" t="s">
        <v>135</v>
      </c>
      <c r="C15" s="1891">
        <v>2</v>
      </c>
      <c r="D15" s="1887">
        <v>0</v>
      </c>
      <c r="E15" s="1887">
        <v>0</v>
      </c>
      <c r="F15" s="1888">
        <v>0</v>
      </c>
      <c r="G15" s="1888">
        <v>0</v>
      </c>
      <c r="H15" s="1888">
        <v>0</v>
      </c>
      <c r="I15" s="1888">
        <v>0</v>
      </c>
      <c r="J15" s="1888">
        <v>2</v>
      </c>
      <c r="K15" s="1888">
        <v>0</v>
      </c>
      <c r="L15" s="1888">
        <v>0</v>
      </c>
      <c r="M15" s="1888">
        <v>0</v>
      </c>
      <c r="N15" s="1888">
        <v>0</v>
      </c>
      <c r="O15" s="390"/>
      <c r="P15" s="390"/>
    </row>
    <row r="16" spans="1:15" ht="22.5" customHeight="1">
      <c r="A16" s="505" t="s">
        <v>136</v>
      </c>
      <c r="B16" s="395" t="s">
        <v>137</v>
      </c>
      <c r="C16" s="1892">
        <v>13596</v>
      </c>
      <c r="D16" s="1892">
        <v>1248</v>
      </c>
      <c r="E16" s="1892">
        <v>6906</v>
      </c>
      <c r="F16" s="1892">
        <v>2801</v>
      </c>
      <c r="G16" s="1892">
        <v>4105</v>
      </c>
      <c r="H16" s="1892">
        <v>36</v>
      </c>
      <c r="I16" s="1892">
        <v>4489</v>
      </c>
      <c r="J16" s="1892">
        <v>881</v>
      </c>
      <c r="K16" s="1892">
        <v>27</v>
      </c>
      <c r="L16" s="1892">
        <v>0</v>
      </c>
      <c r="M16" s="1892">
        <v>0</v>
      </c>
      <c r="N16" s="1893">
        <v>9</v>
      </c>
      <c r="O16" s="390"/>
    </row>
    <row r="17" spans="1:15" ht="22.5" customHeight="1">
      <c r="A17" s="505" t="s">
        <v>52</v>
      </c>
      <c r="B17" s="433" t="s">
        <v>138</v>
      </c>
      <c r="C17" s="1891">
        <v>8594</v>
      </c>
      <c r="D17" s="1891">
        <v>879</v>
      </c>
      <c r="E17" s="1891">
        <v>2611</v>
      </c>
      <c r="F17" s="1891">
        <v>731</v>
      </c>
      <c r="G17" s="1891">
        <v>1880</v>
      </c>
      <c r="H17" s="1891">
        <v>32</v>
      </c>
      <c r="I17" s="1891">
        <v>4378</v>
      </c>
      <c r="J17" s="1891">
        <v>681</v>
      </c>
      <c r="K17" s="1891">
        <v>12</v>
      </c>
      <c r="L17" s="1891">
        <v>0</v>
      </c>
      <c r="M17" s="1891">
        <v>0</v>
      </c>
      <c r="N17" s="1891">
        <v>1</v>
      </c>
      <c r="O17" s="390"/>
    </row>
    <row r="18" spans="1:15" ht="22.5" customHeight="1">
      <c r="A18" s="504" t="s">
        <v>54</v>
      </c>
      <c r="B18" s="432" t="s">
        <v>139</v>
      </c>
      <c r="C18" s="1891">
        <v>6193</v>
      </c>
      <c r="D18" s="1889">
        <v>375</v>
      </c>
      <c r="E18" s="1887">
        <v>1490</v>
      </c>
      <c r="F18" s="1890">
        <v>355</v>
      </c>
      <c r="G18" s="1890">
        <v>1135</v>
      </c>
      <c r="H18" s="1890">
        <v>27</v>
      </c>
      <c r="I18" s="1890">
        <v>4035</v>
      </c>
      <c r="J18" s="1890">
        <v>260</v>
      </c>
      <c r="K18" s="1890">
        <v>6</v>
      </c>
      <c r="L18" s="1890">
        <v>0</v>
      </c>
      <c r="M18" s="1890">
        <v>0</v>
      </c>
      <c r="N18" s="1890">
        <v>0</v>
      </c>
      <c r="O18" s="390"/>
    </row>
    <row r="19" spans="1:15" ht="20.25" customHeight="1">
      <c r="A19" s="504" t="s">
        <v>55</v>
      </c>
      <c r="B19" s="432" t="s">
        <v>140</v>
      </c>
      <c r="C19" s="1891">
        <v>141</v>
      </c>
      <c r="D19" s="1889">
        <v>5</v>
      </c>
      <c r="E19" s="1887">
        <v>126</v>
      </c>
      <c r="F19" s="1890">
        <v>39</v>
      </c>
      <c r="G19" s="1890">
        <v>87</v>
      </c>
      <c r="H19" s="1890">
        <v>0</v>
      </c>
      <c r="I19" s="1890">
        <v>9</v>
      </c>
      <c r="J19" s="1890">
        <v>1</v>
      </c>
      <c r="K19" s="1890">
        <v>0</v>
      </c>
      <c r="L19" s="1890">
        <v>0</v>
      </c>
      <c r="M19" s="1890">
        <v>0</v>
      </c>
      <c r="N19" s="1890">
        <v>0</v>
      </c>
      <c r="O19" s="390"/>
    </row>
    <row r="20" spans="1:15" ht="21" customHeight="1">
      <c r="A20" s="504" t="s">
        <v>141</v>
      </c>
      <c r="B20" s="432" t="s">
        <v>142</v>
      </c>
      <c r="C20" s="1891">
        <v>2248</v>
      </c>
      <c r="D20" s="1889">
        <v>493</v>
      </c>
      <c r="E20" s="1887">
        <v>993</v>
      </c>
      <c r="F20" s="1890">
        <v>337</v>
      </c>
      <c r="G20" s="1890">
        <v>656</v>
      </c>
      <c r="H20" s="1890">
        <v>5</v>
      </c>
      <c r="I20" s="1890">
        <v>334</v>
      </c>
      <c r="J20" s="1890">
        <v>416</v>
      </c>
      <c r="K20" s="1890">
        <v>6</v>
      </c>
      <c r="L20" s="1890">
        <v>0</v>
      </c>
      <c r="M20" s="1890">
        <v>0</v>
      </c>
      <c r="N20" s="1890">
        <v>1</v>
      </c>
      <c r="O20" s="390"/>
    </row>
    <row r="21" spans="1:15" ht="21" customHeight="1">
      <c r="A21" s="504" t="s">
        <v>143</v>
      </c>
      <c r="B21" s="432" t="s">
        <v>144</v>
      </c>
      <c r="C21" s="1891">
        <v>3</v>
      </c>
      <c r="D21" s="1889">
        <v>1</v>
      </c>
      <c r="E21" s="1887">
        <v>2</v>
      </c>
      <c r="F21" s="1890">
        <v>0</v>
      </c>
      <c r="G21" s="1890">
        <v>2</v>
      </c>
      <c r="H21" s="1890">
        <v>0</v>
      </c>
      <c r="I21" s="1890">
        <v>0</v>
      </c>
      <c r="J21" s="1890">
        <v>0</v>
      </c>
      <c r="K21" s="1890">
        <v>0</v>
      </c>
      <c r="L21" s="1890">
        <v>0</v>
      </c>
      <c r="M21" s="1890">
        <v>0</v>
      </c>
      <c r="N21" s="1890">
        <v>0</v>
      </c>
      <c r="O21" s="390"/>
    </row>
    <row r="22" spans="1:15" ht="21" customHeight="1">
      <c r="A22" s="504" t="s">
        <v>145</v>
      </c>
      <c r="B22" s="432" t="s">
        <v>146</v>
      </c>
      <c r="C22" s="1891">
        <v>6</v>
      </c>
      <c r="D22" s="1889">
        <v>3</v>
      </c>
      <c r="E22" s="1887">
        <v>0</v>
      </c>
      <c r="F22" s="1890">
        <v>0</v>
      </c>
      <c r="G22" s="1890">
        <v>0</v>
      </c>
      <c r="H22" s="1890">
        <v>0</v>
      </c>
      <c r="I22" s="1890">
        <v>0</v>
      </c>
      <c r="J22" s="1890">
        <v>3</v>
      </c>
      <c r="K22" s="1890">
        <v>0</v>
      </c>
      <c r="L22" s="1890">
        <v>0</v>
      </c>
      <c r="M22" s="1890">
        <v>0</v>
      </c>
      <c r="N22" s="1890">
        <v>0</v>
      </c>
      <c r="O22" s="390"/>
    </row>
    <row r="23" spans="1:15" ht="25.5">
      <c r="A23" s="504" t="s">
        <v>147</v>
      </c>
      <c r="B23" s="434" t="s">
        <v>148</v>
      </c>
      <c r="C23" s="1891">
        <v>0</v>
      </c>
      <c r="D23" s="1889">
        <v>0</v>
      </c>
      <c r="E23" s="1887">
        <v>0</v>
      </c>
      <c r="F23" s="1890">
        <v>0</v>
      </c>
      <c r="G23" s="1890">
        <v>0</v>
      </c>
      <c r="H23" s="1890">
        <v>0</v>
      </c>
      <c r="I23" s="1890">
        <v>0</v>
      </c>
      <c r="J23" s="1890">
        <v>0</v>
      </c>
      <c r="K23" s="1890">
        <v>0</v>
      </c>
      <c r="L23" s="1890">
        <v>0</v>
      </c>
      <c r="M23" s="1890">
        <v>0</v>
      </c>
      <c r="N23" s="1890">
        <v>0</v>
      </c>
      <c r="O23" s="390"/>
    </row>
    <row r="24" spans="1:15" ht="21" customHeight="1">
      <c r="A24" s="504" t="s">
        <v>149</v>
      </c>
      <c r="B24" s="432" t="s">
        <v>150</v>
      </c>
      <c r="C24" s="1891">
        <v>3</v>
      </c>
      <c r="D24" s="1889">
        <v>2</v>
      </c>
      <c r="E24" s="1887">
        <v>0</v>
      </c>
      <c r="F24" s="1890">
        <v>0</v>
      </c>
      <c r="G24" s="1890">
        <v>0</v>
      </c>
      <c r="H24" s="1890">
        <v>0</v>
      </c>
      <c r="I24" s="1890">
        <v>0</v>
      </c>
      <c r="J24" s="1890">
        <v>1</v>
      </c>
      <c r="K24" s="1890">
        <v>0</v>
      </c>
      <c r="L24" s="1890">
        <v>0</v>
      </c>
      <c r="M24" s="1890">
        <v>0</v>
      </c>
      <c r="N24" s="1890">
        <v>0</v>
      </c>
      <c r="O24" s="390"/>
    </row>
    <row r="25" spans="1:15" ht="21" customHeight="1">
      <c r="A25" s="505" t="s">
        <v>53</v>
      </c>
      <c r="B25" s="395" t="s">
        <v>151</v>
      </c>
      <c r="C25" s="1891">
        <v>5002</v>
      </c>
      <c r="D25" s="1889">
        <v>369</v>
      </c>
      <c r="E25" s="1887">
        <v>4295</v>
      </c>
      <c r="F25" s="1890">
        <v>2070</v>
      </c>
      <c r="G25" s="1890">
        <v>2225</v>
      </c>
      <c r="H25" s="1890">
        <v>4</v>
      </c>
      <c r="I25" s="1890">
        <v>111</v>
      </c>
      <c r="J25" s="1890">
        <v>200</v>
      </c>
      <c r="K25" s="1890">
        <v>15</v>
      </c>
      <c r="L25" s="1890">
        <v>0</v>
      </c>
      <c r="M25" s="1890">
        <v>0</v>
      </c>
      <c r="N25" s="1890">
        <v>8</v>
      </c>
      <c r="O25" s="390"/>
    </row>
    <row r="26" spans="1:15" s="415" customFormat="1" ht="26.25">
      <c r="A26" s="505" t="s">
        <v>555</v>
      </c>
      <c r="B26" s="435" t="s">
        <v>152</v>
      </c>
      <c r="C26" s="631">
        <f>SUM(C18:C19)/C16*100</f>
        <v>46.58723153868785</v>
      </c>
      <c r="D26" s="631">
        <f aca="true" t="shared" si="0" ref="D26:N26">SUM(D18:D19)/D16*100</f>
        <v>30.448717948717945</v>
      </c>
      <c r="E26" s="631">
        <f t="shared" si="0"/>
        <v>23.399942079351288</v>
      </c>
      <c r="F26" s="631">
        <f t="shared" si="0"/>
        <v>14.066404855408782</v>
      </c>
      <c r="G26" s="631">
        <f t="shared" si="0"/>
        <v>29.768574908647988</v>
      </c>
      <c r="H26" s="631">
        <f t="shared" si="0"/>
        <v>75</v>
      </c>
      <c r="I26" s="631">
        <f t="shared" si="0"/>
        <v>90.08687903764758</v>
      </c>
      <c r="J26" s="631">
        <f t="shared" si="0"/>
        <v>29.625425652667424</v>
      </c>
      <c r="K26" s="631">
        <f t="shared" si="0"/>
        <v>22.22222222222222</v>
      </c>
      <c r="L26" s="631" t="e">
        <f t="shared" si="0"/>
        <v>#DIV/0!</v>
      </c>
      <c r="M26" s="631" t="e">
        <f t="shared" si="0"/>
        <v>#DIV/0!</v>
      </c>
      <c r="N26" s="631">
        <f t="shared" si="0"/>
        <v>0</v>
      </c>
      <c r="O26" s="390"/>
    </row>
  </sheetData>
  <sheetProtection/>
  <mergeCells count="25">
    <mergeCell ref="A10:B10"/>
    <mergeCell ref="M7:M9"/>
    <mergeCell ref="N7:N9"/>
    <mergeCell ref="E8:E9"/>
    <mergeCell ref="L7:L9"/>
    <mergeCell ref="A6:B9"/>
    <mergeCell ref="C6:C9"/>
    <mergeCell ref="D6:N6"/>
    <mergeCell ref="D7:D9"/>
    <mergeCell ref="E7:G7"/>
    <mergeCell ref="L4:N4"/>
    <mergeCell ref="L5:N5"/>
    <mergeCell ref="I7:I9"/>
    <mergeCell ref="D3:K3"/>
    <mergeCell ref="O8:P8"/>
    <mergeCell ref="J7:J9"/>
    <mergeCell ref="K7:K9"/>
    <mergeCell ref="F8:G8"/>
    <mergeCell ref="H7:H9"/>
    <mergeCell ref="A1:B1"/>
    <mergeCell ref="D1:K1"/>
    <mergeCell ref="L1:N1"/>
    <mergeCell ref="D2:K2"/>
    <mergeCell ref="L2:N2"/>
    <mergeCell ref="L3:N3"/>
  </mergeCells>
  <printOptions/>
  <pageMargins left="0.22" right="0" top="0" bottom="0" header="0.23" footer="0.1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D497"/>
  <sheetViews>
    <sheetView showZeros="0" view="pageBreakPreview" zoomScaleNormal="80" zoomScaleSheetLayoutView="100" zoomScalePageLayoutView="0" workbookViewId="0" topLeftCell="A16">
      <selection activeCell="D29" sqref="D27:D29"/>
    </sheetView>
  </sheetViews>
  <sheetFormatPr defaultColWidth="9.00390625" defaultRowHeight="15.75"/>
  <cols>
    <col min="1" max="1" width="4.875" style="33" customWidth="1"/>
    <col min="2" max="2" width="51.00390625" style="33" customWidth="1"/>
    <col min="3" max="3" width="36.00390625" style="33" customWidth="1"/>
    <col min="4" max="4" width="9.00390625" style="716" customWidth="1"/>
    <col min="5" max="16384" width="9.00390625" style="33" customWidth="1"/>
  </cols>
  <sheetData>
    <row r="1" spans="1:4" s="1" customFormat="1" ht="36" customHeight="1">
      <c r="A1" s="1478" t="s">
        <v>182</v>
      </c>
      <c r="B1" s="1479"/>
      <c r="C1" s="1479"/>
      <c r="D1" s="715"/>
    </row>
    <row r="2" spans="1:3" ht="21.75" customHeight="1">
      <c r="A2" s="1480" t="s">
        <v>70</v>
      </c>
      <c r="B2" s="1480"/>
      <c r="C2" s="500" t="s">
        <v>341</v>
      </c>
    </row>
    <row r="3" spans="1:3" ht="21.75" customHeight="1">
      <c r="A3" s="1481" t="s">
        <v>6</v>
      </c>
      <c r="B3" s="1481"/>
      <c r="C3" s="5">
        <v>1</v>
      </c>
    </row>
    <row r="4" spans="1:3" ht="17.25" customHeight="1">
      <c r="A4" s="397" t="s">
        <v>52</v>
      </c>
      <c r="B4" s="516" t="s">
        <v>566</v>
      </c>
      <c r="C4" s="501">
        <f>SUM(C5:C11)</f>
        <v>3</v>
      </c>
    </row>
    <row r="5" spans="1:4" s="6" customFormat="1" ht="17.25" customHeight="1">
      <c r="A5" s="5" t="s">
        <v>54</v>
      </c>
      <c r="B5" s="517" t="s">
        <v>153</v>
      </c>
      <c r="C5" s="680">
        <v>1</v>
      </c>
      <c r="D5" s="717"/>
    </row>
    <row r="6" spans="1:4" s="6" customFormat="1" ht="17.25" customHeight="1">
      <c r="A6" s="5" t="s">
        <v>55</v>
      </c>
      <c r="B6" s="517" t="s">
        <v>154</v>
      </c>
      <c r="C6" s="680">
        <v>0</v>
      </c>
      <c r="D6" s="717"/>
    </row>
    <row r="7" spans="1:4" s="6" customFormat="1" ht="17.25" customHeight="1">
      <c r="A7" s="5" t="s">
        <v>141</v>
      </c>
      <c r="B7" s="517" t="s">
        <v>155</v>
      </c>
      <c r="C7" s="680">
        <v>2</v>
      </c>
      <c r="D7" s="717"/>
    </row>
    <row r="8" spans="1:4" s="6" customFormat="1" ht="17.25" customHeight="1">
      <c r="A8" s="5" t="s">
        <v>143</v>
      </c>
      <c r="B8" s="517" t="s">
        <v>156</v>
      </c>
      <c r="C8" s="680">
        <v>0</v>
      </c>
      <c r="D8" s="717"/>
    </row>
    <row r="9" spans="1:4" s="6" customFormat="1" ht="17.25" customHeight="1">
      <c r="A9" s="5" t="s">
        <v>145</v>
      </c>
      <c r="B9" s="517" t="s">
        <v>157</v>
      </c>
      <c r="C9" s="39"/>
      <c r="D9" s="717"/>
    </row>
    <row r="10" spans="1:4" s="6" customFormat="1" ht="17.25" customHeight="1">
      <c r="A10" s="5" t="s">
        <v>147</v>
      </c>
      <c r="B10" s="517" t="s">
        <v>158</v>
      </c>
      <c r="C10" s="39"/>
      <c r="D10" s="717"/>
    </row>
    <row r="11" spans="1:4" s="6" customFormat="1" ht="17.25" customHeight="1">
      <c r="A11" s="5" t="s">
        <v>149</v>
      </c>
      <c r="B11" s="517" t="s">
        <v>160</v>
      </c>
      <c r="C11" s="39"/>
      <c r="D11" s="717"/>
    </row>
    <row r="12" spans="1:4" s="32" customFormat="1" ht="17.25" customHeight="1">
      <c r="A12" s="397" t="s">
        <v>53</v>
      </c>
      <c r="B12" s="516" t="s">
        <v>565</v>
      </c>
      <c r="C12" s="501">
        <f>SUM(C13:C14)</f>
        <v>6</v>
      </c>
      <c r="D12" s="718"/>
    </row>
    <row r="13" spans="1:4" s="6" customFormat="1" ht="17.25" customHeight="1">
      <c r="A13" s="5" t="s">
        <v>56</v>
      </c>
      <c r="B13" s="517" t="s">
        <v>159</v>
      </c>
      <c r="C13" s="680">
        <v>6</v>
      </c>
      <c r="D13" s="717"/>
    </row>
    <row r="14" spans="1:3" ht="17.25" customHeight="1">
      <c r="A14" s="5" t="s">
        <v>57</v>
      </c>
      <c r="B14" s="517" t="s">
        <v>160</v>
      </c>
      <c r="C14" s="680">
        <v>0</v>
      </c>
    </row>
    <row r="15" spans="1:3" ht="17.25" customHeight="1">
      <c r="A15" s="397" t="s">
        <v>58</v>
      </c>
      <c r="B15" s="516" t="s">
        <v>150</v>
      </c>
      <c r="C15" s="501">
        <f>SUM(C16:C18)</f>
        <v>3</v>
      </c>
    </row>
    <row r="16" spans="1:3" ht="17.25" customHeight="1">
      <c r="A16" s="5" t="s">
        <v>161</v>
      </c>
      <c r="B16" s="514" t="s">
        <v>162</v>
      </c>
      <c r="C16" s="39">
        <v>1</v>
      </c>
    </row>
    <row r="17" spans="1:4" s="6" customFormat="1" ht="30">
      <c r="A17" s="5" t="s">
        <v>163</v>
      </c>
      <c r="B17" s="517" t="s">
        <v>164</v>
      </c>
      <c r="C17" s="39">
        <v>2</v>
      </c>
      <c r="D17" s="717"/>
    </row>
    <row r="18" spans="1:4" s="6" customFormat="1" ht="17.25" customHeight="1">
      <c r="A18" s="5" t="s">
        <v>165</v>
      </c>
      <c r="B18" s="517" t="s">
        <v>166</v>
      </c>
      <c r="C18" s="39"/>
      <c r="D18" s="717"/>
    </row>
    <row r="19" spans="1:4" s="6" customFormat="1" ht="17.25" customHeight="1">
      <c r="A19" s="397" t="s">
        <v>73</v>
      </c>
      <c r="B19" s="516" t="s">
        <v>564</v>
      </c>
      <c r="C19" s="501">
        <f>SUM(C20:C25)</f>
        <v>141</v>
      </c>
      <c r="D19" s="717"/>
    </row>
    <row r="20" spans="1:4" s="6" customFormat="1" ht="17.25" customHeight="1">
      <c r="A20" s="5" t="s">
        <v>167</v>
      </c>
      <c r="B20" s="517" t="s">
        <v>168</v>
      </c>
      <c r="C20" s="680">
        <v>31</v>
      </c>
      <c r="D20" s="717"/>
    </row>
    <row r="21" spans="1:4" s="6" customFormat="1" ht="17.25" customHeight="1">
      <c r="A21" s="5" t="s">
        <v>169</v>
      </c>
      <c r="B21" s="517" t="s">
        <v>170</v>
      </c>
      <c r="C21" s="680">
        <v>0</v>
      </c>
      <c r="D21" s="717"/>
    </row>
    <row r="22" spans="1:4" s="6" customFormat="1" ht="17.25" customHeight="1">
      <c r="A22" s="5" t="s">
        <v>171</v>
      </c>
      <c r="B22" s="517" t="s">
        <v>172</v>
      </c>
      <c r="C22" s="680">
        <v>18</v>
      </c>
      <c r="D22" s="717"/>
    </row>
    <row r="23" spans="1:4" s="6" customFormat="1" ht="17.25" customHeight="1">
      <c r="A23" s="5" t="s">
        <v>173</v>
      </c>
      <c r="B23" s="517" t="s">
        <v>156</v>
      </c>
      <c r="C23" s="680">
        <v>0</v>
      </c>
      <c r="D23" s="717"/>
    </row>
    <row r="24" spans="1:4" s="6" customFormat="1" ht="17.25" customHeight="1">
      <c r="A24" s="5" t="s">
        <v>174</v>
      </c>
      <c r="B24" s="517" t="s">
        <v>157</v>
      </c>
      <c r="C24" s="680">
        <f>89+3</f>
        <v>92</v>
      </c>
      <c r="D24" s="717"/>
    </row>
    <row r="25" spans="1:4" s="6" customFormat="1" ht="17.25" customHeight="1">
      <c r="A25" s="5" t="s">
        <v>175</v>
      </c>
      <c r="B25" s="517" t="s">
        <v>176</v>
      </c>
      <c r="C25" s="680">
        <v>0</v>
      </c>
      <c r="D25" s="717"/>
    </row>
    <row r="26" spans="1:4" s="6" customFormat="1" ht="17.25" customHeight="1">
      <c r="A26" s="397" t="s">
        <v>74</v>
      </c>
      <c r="B26" s="516" t="s">
        <v>563</v>
      </c>
      <c r="C26" s="501">
        <f>SUM(C27:C29)</f>
        <v>5002</v>
      </c>
      <c r="D26" s="717"/>
    </row>
    <row r="27" spans="1:4" s="6" customFormat="1" ht="17.25" customHeight="1">
      <c r="A27" s="5" t="s">
        <v>177</v>
      </c>
      <c r="B27" s="517" t="s">
        <v>168</v>
      </c>
      <c r="C27" s="680">
        <v>3359</v>
      </c>
      <c r="D27" s="717"/>
    </row>
    <row r="28" spans="1:4" ht="17.25" customHeight="1">
      <c r="A28" s="5" t="s">
        <v>178</v>
      </c>
      <c r="B28" s="517" t="s">
        <v>170</v>
      </c>
      <c r="C28" s="680">
        <v>3</v>
      </c>
      <c r="D28" s="717"/>
    </row>
    <row r="29" spans="1:4" s="6" customFormat="1" ht="17.25" customHeight="1">
      <c r="A29" s="5" t="s">
        <v>179</v>
      </c>
      <c r="B29" s="517" t="s">
        <v>180</v>
      </c>
      <c r="C29" s="680">
        <v>1640</v>
      </c>
      <c r="D29" s="717"/>
    </row>
    <row r="30" spans="1:3" ht="30.75" customHeight="1">
      <c r="A30" s="35"/>
      <c r="B30" s="407"/>
      <c r="C30" s="515" t="str">
        <f>'Thong tin'!B8</f>
        <v>Hải Phòng, ngày 03 tháng 8 năm 2017</v>
      </c>
    </row>
    <row r="31" spans="1:3" ht="22.5" customHeight="1">
      <c r="A31" s="35"/>
      <c r="B31" s="408" t="s">
        <v>4</v>
      </c>
      <c r="C31" s="512" t="str">
        <f>'Thong tin'!B7</f>
        <v>
PHÓ CỤC TRƯỞNG</v>
      </c>
    </row>
    <row r="32" spans="2:4" s="36" customFormat="1" ht="18.75">
      <c r="B32" s="507"/>
      <c r="C32" s="405"/>
      <c r="D32" s="716"/>
    </row>
    <row r="33" spans="2:3" ht="15.75" customHeight="1">
      <c r="B33" s="439"/>
      <c r="C33" s="406"/>
    </row>
    <row r="34" spans="2:3" ht="15.75" customHeight="1">
      <c r="B34" s="439"/>
      <c r="C34" s="405"/>
    </row>
    <row r="35" spans="2:3" ht="15.75" customHeight="1">
      <c r="B35" s="439"/>
      <c r="C35" s="406"/>
    </row>
    <row r="36" spans="2:3" ht="15.75" customHeight="1">
      <c r="B36" s="439"/>
      <c r="C36" s="406"/>
    </row>
    <row r="37" spans="2:3" ht="18.75">
      <c r="B37" s="508" t="str">
        <f>'Thong tin'!B5</f>
        <v>Trần Thị Minh</v>
      </c>
      <c r="C37" s="508" t="str">
        <f>'Thong tin'!B6</f>
        <v>Nguyễn Thị Mai Hoa</v>
      </c>
    </row>
    <row r="38" spans="2:3" ht="18.75">
      <c r="B38" s="406"/>
      <c r="C38" s="406"/>
    </row>
    <row r="39" spans="2:3" ht="18.75">
      <c r="B39" s="406"/>
      <c r="C39" s="406"/>
    </row>
    <row r="40" spans="2:3" ht="18.75" hidden="1">
      <c r="B40" s="406"/>
      <c r="C40" s="406"/>
    </row>
    <row r="41" ht="15.75" customHeight="1" hidden="1"/>
    <row r="42" ht="15.75" hidden="1"/>
    <row r="43" ht="15.75" hidden="1"/>
    <row r="44" spans="1:3" ht="16.5" customHeight="1" hidden="1">
      <c r="A44" s="1474" t="s">
        <v>182</v>
      </c>
      <c r="B44" s="1475"/>
      <c r="C44" s="1475"/>
    </row>
    <row r="45" spans="1:3" ht="18.75" hidden="1">
      <c r="A45" s="1476" t="s">
        <v>70</v>
      </c>
      <c r="B45" s="1477"/>
      <c r="C45" s="387" t="s">
        <v>341</v>
      </c>
    </row>
    <row r="46" spans="1:3" ht="15.75" hidden="1">
      <c r="A46" s="1472" t="s">
        <v>6</v>
      </c>
      <c r="B46" s="1473"/>
      <c r="C46" s="399">
        <v>1</v>
      </c>
    </row>
    <row r="47" spans="1:3" ht="19.5" customHeight="1" hidden="1">
      <c r="A47" s="397" t="s">
        <v>52</v>
      </c>
      <c r="B47" s="398" t="s">
        <v>349</v>
      </c>
      <c r="C47" s="400">
        <f>SUM(C48:C53)</f>
        <v>0</v>
      </c>
    </row>
    <row r="48" spans="1:3" ht="19.5" customHeight="1" hidden="1">
      <c r="A48" s="5" t="s">
        <v>54</v>
      </c>
      <c r="B48" s="34" t="s">
        <v>153</v>
      </c>
      <c r="C48" s="401"/>
    </row>
    <row r="49" spans="1:3" ht="19.5" customHeight="1" hidden="1">
      <c r="A49" s="5" t="s">
        <v>55</v>
      </c>
      <c r="B49" s="34" t="s">
        <v>154</v>
      </c>
      <c r="C49" s="401"/>
    </row>
    <row r="50" spans="1:3" ht="19.5" customHeight="1" hidden="1">
      <c r="A50" s="5" t="s">
        <v>141</v>
      </c>
      <c r="B50" s="34" t="s">
        <v>155</v>
      </c>
      <c r="C50" s="401"/>
    </row>
    <row r="51" spans="1:3" ht="19.5" customHeight="1" hidden="1">
      <c r="A51" s="5" t="s">
        <v>143</v>
      </c>
      <c r="B51" s="34" t="s">
        <v>156</v>
      </c>
      <c r="C51" s="401"/>
    </row>
    <row r="52" spans="1:3" ht="19.5" customHeight="1" hidden="1">
      <c r="A52" s="5" t="s">
        <v>145</v>
      </c>
      <c r="B52" s="34" t="s">
        <v>157</v>
      </c>
      <c r="C52" s="401"/>
    </row>
    <row r="53" spans="1:3" ht="19.5" customHeight="1" hidden="1">
      <c r="A53" s="5" t="s">
        <v>147</v>
      </c>
      <c r="B53" s="34" t="s">
        <v>158</v>
      </c>
      <c r="C53" s="401"/>
    </row>
    <row r="54" spans="1:3" ht="19.5" customHeight="1" hidden="1">
      <c r="A54" s="397" t="s">
        <v>53</v>
      </c>
      <c r="B54" s="398" t="s">
        <v>347</v>
      </c>
      <c r="C54" s="400">
        <f>SUM(C55:C56)</f>
        <v>0</v>
      </c>
    </row>
    <row r="55" spans="1:3" ht="19.5" customHeight="1" hidden="1">
      <c r="A55" s="5" t="s">
        <v>56</v>
      </c>
      <c r="B55" s="34" t="s">
        <v>159</v>
      </c>
      <c r="C55" s="401"/>
    </row>
    <row r="56" spans="1:3" ht="19.5" customHeight="1" hidden="1">
      <c r="A56" s="5" t="s">
        <v>57</v>
      </c>
      <c r="B56" s="34" t="s">
        <v>160</v>
      </c>
      <c r="C56" s="401"/>
    </row>
    <row r="57" spans="1:3" ht="19.5" customHeight="1" hidden="1">
      <c r="A57" s="397" t="s">
        <v>58</v>
      </c>
      <c r="B57" s="398" t="s">
        <v>150</v>
      </c>
      <c r="C57" s="400">
        <f>SUM(C58:C60)</f>
        <v>0</v>
      </c>
    </row>
    <row r="58" spans="1:3" ht="19.5" customHeight="1" hidden="1">
      <c r="A58" s="5" t="s">
        <v>161</v>
      </c>
      <c r="B58" s="37" t="s">
        <v>162</v>
      </c>
      <c r="C58" s="401"/>
    </row>
    <row r="59" spans="1:3" ht="19.5" customHeight="1" hidden="1">
      <c r="A59" s="5" t="s">
        <v>163</v>
      </c>
      <c r="B59" s="34" t="s">
        <v>164</v>
      </c>
      <c r="C59" s="401"/>
    </row>
    <row r="60" spans="1:3" ht="19.5" customHeight="1" hidden="1">
      <c r="A60" s="5" t="s">
        <v>165</v>
      </c>
      <c r="B60" s="34" t="s">
        <v>166</v>
      </c>
      <c r="C60" s="401"/>
    </row>
    <row r="61" spans="1:3" ht="19.5" customHeight="1" hidden="1">
      <c r="A61" s="397" t="s">
        <v>73</v>
      </c>
      <c r="B61" s="398" t="s">
        <v>348</v>
      </c>
      <c r="C61" s="400">
        <f>SUM(C62:C67)</f>
        <v>0</v>
      </c>
    </row>
    <row r="62" spans="1:3" ht="19.5" customHeight="1" hidden="1">
      <c r="A62" s="5" t="s">
        <v>167</v>
      </c>
      <c r="B62" s="34" t="s">
        <v>168</v>
      </c>
      <c r="C62" s="401"/>
    </row>
    <row r="63" spans="1:3" ht="19.5" customHeight="1" hidden="1">
      <c r="A63" s="5" t="s">
        <v>169</v>
      </c>
      <c r="B63" s="34" t="s">
        <v>170</v>
      </c>
      <c r="C63" s="401"/>
    </row>
    <row r="64" spans="1:3" ht="19.5" customHeight="1" hidden="1">
      <c r="A64" s="5" t="s">
        <v>171</v>
      </c>
      <c r="B64" s="34" t="s">
        <v>172</v>
      </c>
      <c r="C64" s="401"/>
    </row>
    <row r="65" spans="1:3" ht="19.5" customHeight="1" hidden="1">
      <c r="A65" s="5" t="s">
        <v>173</v>
      </c>
      <c r="B65" s="34" t="s">
        <v>156</v>
      </c>
      <c r="C65" s="401"/>
    </row>
    <row r="66" spans="1:3" ht="19.5" customHeight="1" hidden="1">
      <c r="A66" s="5" t="s">
        <v>174</v>
      </c>
      <c r="B66" s="34" t="s">
        <v>157</v>
      </c>
      <c r="C66" s="401"/>
    </row>
    <row r="67" spans="1:3" ht="19.5" customHeight="1" hidden="1">
      <c r="A67" s="5" t="s">
        <v>175</v>
      </c>
      <c r="B67" s="34" t="s">
        <v>176</v>
      </c>
      <c r="C67" s="401"/>
    </row>
    <row r="68" spans="1:3" ht="19.5" customHeight="1" hidden="1">
      <c r="A68" s="397" t="s">
        <v>74</v>
      </c>
      <c r="B68" s="398" t="s">
        <v>350</v>
      </c>
      <c r="C68" s="400">
        <f>SUM(C69:C71)</f>
        <v>25</v>
      </c>
    </row>
    <row r="69" spans="1:3" ht="19.5" customHeight="1" hidden="1">
      <c r="A69" s="5" t="s">
        <v>177</v>
      </c>
      <c r="B69" s="34" t="s">
        <v>168</v>
      </c>
      <c r="C69" s="401">
        <v>25</v>
      </c>
    </row>
    <row r="70" spans="1:3" ht="19.5" customHeight="1" hidden="1">
      <c r="A70" s="5" t="s">
        <v>178</v>
      </c>
      <c r="B70" s="34" t="s">
        <v>170</v>
      </c>
      <c r="C70" s="401">
        <v>0</v>
      </c>
    </row>
    <row r="71" spans="1:3" ht="19.5" customHeight="1" hidden="1">
      <c r="A71" s="5" t="s">
        <v>179</v>
      </c>
      <c r="B71" s="34" t="s">
        <v>180</v>
      </c>
      <c r="C71" s="401">
        <v>0</v>
      </c>
    </row>
    <row r="72" ht="15.75" hidden="1"/>
    <row r="73" ht="15.75" hidden="1"/>
    <row r="74" ht="15.75" hidden="1"/>
    <row r="75" ht="15.75" hidden="1"/>
    <row r="76" ht="15.75" hidden="1"/>
    <row r="77" ht="15.75" hidden="1"/>
    <row r="78" ht="15.75" hidden="1"/>
    <row r="79" ht="15.75" customHeight="1" hidden="1"/>
    <row r="80" ht="15.75" hidden="1"/>
    <row r="81" ht="15.75" hidden="1"/>
    <row r="82" spans="1:3" ht="16.5" customHeight="1" hidden="1">
      <c r="A82" s="1474" t="s">
        <v>182</v>
      </c>
      <c r="B82" s="1475"/>
      <c r="C82" s="1475"/>
    </row>
    <row r="83" spans="1:3" ht="18.75" hidden="1">
      <c r="A83" s="1476" t="s">
        <v>70</v>
      </c>
      <c r="B83" s="1477"/>
      <c r="C83" s="387" t="s">
        <v>341</v>
      </c>
    </row>
    <row r="84" spans="1:3" ht="24.75" customHeight="1" hidden="1">
      <c r="A84" s="1472" t="s">
        <v>6</v>
      </c>
      <c r="B84" s="1473"/>
      <c r="C84" s="399">
        <v>1</v>
      </c>
    </row>
    <row r="85" spans="1:3" ht="24.75" customHeight="1" hidden="1">
      <c r="A85" s="397" t="s">
        <v>52</v>
      </c>
      <c r="B85" s="398" t="s">
        <v>349</v>
      </c>
      <c r="C85" s="400">
        <f>SUM(C86:C91)</f>
        <v>2</v>
      </c>
    </row>
    <row r="86" spans="1:3" ht="24.75" customHeight="1" hidden="1">
      <c r="A86" s="5" t="s">
        <v>54</v>
      </c>
      <c r="B86" s="34" t="s">
        <v>153</v>
      </c>
      <c r="C86" s="401"/>
    </row>
    <row r="87" spans="1:3" ht="24.75" customHeight="1" hidden="1">
      <c r="A87" s="5" t="s">
        <v>55</v>
      </c>
      <c r="B87" s="34" t="s">
        <v>154</v>
      </c>
      <c r="C87" s="401"/>
    </row>
    <row r="88" spans="1:3" ht="24.75" customHeight="1" hidden="1">
      <c r="A88" s="5" t="s">
        <v>141</v>
      </c>
      <c r="B88" s="34" t="s">
        <v>155</v>
      </c>
      <c r="C88" s="401">
        <v>2</v>
      </c>
    </row>
    <row r="89" spans="1:3" ht="24.75" customHeight="1" hidden="1">
      <c r="A89" s="5" t="s">
        <v>143</v>
      </c>
      <c r="B89" s="34" t="s">
        <v>156</v>
      </c>
      <c r="C89" s="401"/>
    </row>
    <row r="90" spans="1:3" ht="24.75" customHeight="1" hidden="1">
      <c r="A90" s="5" t="s">
        <v>145</v>
      </c>
      <c r="B90" s="34" t="s">
        <v>157</v>
      </c>
      <c r="C90" s="401"/>
    </row>
    <row r="91" spans="1:3" ht="24.75" customHeight="1" hidden="1">
      <c r="A91" s="5" t="s">
        <v>147</v>
      </c>
      <c r="B91" s="34" t="s">
        <v>158</v>
      </c>
      <c r="C91" s="401"/>
    </row>
    <row r="92" spans="1:3" ht="24.75" customHeight="1" hidden="1">
      <c r="A92" s="397" t="s">
        <v>53</v>
      </c>
      <c r="B92" s="398" t="s">
        <v>347</v>
      </c>
      <c r="C92" s="400">
        <f>SUM(C93:C94)</f>
        <v>0</v>
      </c>
    </row>
    <row r="93" spans="1:3" ht="24.75" customHeight="1" hidden="1">
      <c r="A93" s="5" t="s">
        <v>56</v>
      </c>
      <c r="B93" s="34" t="s">
        <v>159</v>
      </c>
      <c r="C93" s="401"/>
    </row>
    <row r="94" spans="1:3" ht="24.75" customHeight="1" hidden="1">
      <c r="A94" s="5" t="s">
        <v>57</v>
      </c>
      <c r="B94" s="34" t="s">
        <v>160</v>
      </c>
      <c r="C94" s="401"/>
    </row>
    <row r="95" spans="1:3" ht="24.75" customHeight="1" hidden="1">
      <c r="A95" s="397" t="s">
        <v>58</v>
      </c>
      <c r="B95" s="398" t="s">
        <v>150</v>
      </c>
      <c r="C95" s="400">
        <f>SUM(C96:C98)</f>
        <v>0</v>
      </c>
    </row>
    <row r="96" spans="1:3" ht="24.75" customHeight="1" hidden="1">
      <c r="A96" s="5" t="s">
        <v>161</v>
      </c>
      <c r="B96" s="37" t="s">
        <v>162</v>
      </c>
      <c r="C96" s="401"/>
    </row>
    <row r="97" spans="1:3" ht="24.75" customHeight="1" hidden="1">
      <c r="A97" s="5" t="s">
        <v>163</v>
      </c>
      <c r="B97" s="34" t="s">
        <v>164</v>
      </c>
      <c r="C97" s="401"/>
    </row>
    <row r="98" spans="1:3" ht="24.75" customHeight="1" hidden="1">
      <c r="A98" s="5" t="s">
        <v>165</v>
      </c>
      <c r="B98" s="34" t="s">
        <v>166</v>
      </c>
      <c r="C98" s="401"/>
    </row>
    <row r="99" spans="1:3" ht="24.75" customHeight="1" hidden="1">
      <c r="A99" s="397" t="s">
        <v>73</v>
      </c>
      <c r="B99" s="398" t="s">
        <v>348</v>
      </c>
      <c r="C99" s="400">
        <f>SUM(C100:C105)</f>
        <v>0</v>
      </c>
    </row>
    <row r="100" spans="1:3" ht="24.75" customHeight="1" hidden="1">
      <c r="A100" s="5" t="s">
        <v>167</v>
      </c>
      <c r="B100" s="34" t="s">
        <v>168</v>
      </c>
      <c r="C100" s="401"/>
    </row>
    <row r="101" spans="1:3" ht="24.75" customHeight="1" hidden="1">
      <c r="A101" s="5" t="s">
        <v>169</v>
      </c>
      <c r="B101" s="34" t="s">
        <v>170</v>
      </c>
      <c r="C101" s="401"/>
    </row>
    <row r="102" spans="1:3" ht="24.75" customHeight="1" hidden="1">
      <c r="A102" s="5" t="s">
        <v>171</v>
      </c>
      <c r="B102" s="34" t="s">
        <v>172</v>
      </c>
      <c r="C102" s="401"/>
    </row>
    <row r="103" spans="1:3" ht="24.75" customHeight="1" hidden="1">
      <c r="A103" s="5" t="s">
        <v>173</v>
      </c>
      <c r="B103" s="34" t="s">
        <v>156</v>
      </c>
      <c r="C103" s="401"/>
    </row>
    <row r="104" spans="1:3" ht="24.75" customHeight="1" hidden="1">
      <c r="A104" s="5" t="s">
        <v>174</v>
      </c>
      <c r="B104" s="34" t="s">
        <v>157</v>
      </c>
      <c r="C104" s="401"/>
    </row>
    <row r="105" spans="1:3" ht="24.75" customHeight="1" hidden="1">
      <c r="A105" s="5" t="s">
        <v>175</v>
      </c>
      <c r="B105" s="34" t="s">
        <v>176</v>
      </c>
      <c r="C105" s="401"/>
    </row>
    <row r="106" spans="1:3" ht="24.75" customHeight="1" hidden="1">
      <c r="A106" s="397" t="s">
        <v>74</v>
      </c>
      <c r="B106" s="398" t="s">
        <v>350</v>
      </c>
      <c r="C106" s="400">
        <f>SUM(C107:C109)</f>
        <v>46</v>
      </c>
    </row>
    <row r="107" spans="1:3" ht="24.75" customHeight="1" hidden="1">
      <c r="A107" s="5" t="s">
        <v>177</v>
      </c>
      <c r="B107" s="34" t="s">
        <v>168</v>
      </c>
      <c r="C107" s="401">
        <v>43</v>
      </c>
    </row>
    <row r="108" spans="1:3" ht="24.75" customHeight="1" hidden="1">
      <c r="A108" s="5" t="s">
        <v>178</v>
      </c>
      <c r="B108" s="34" t="s">
        <v>170</v>
      </c>
      <c r="C108" s="401"/>
    </row>
    <row r="109" spans="1:3" ht="24.75" customHeight="1" hidden="1">
      <c r="A109" s="5" t="s">
        <v>179</v>
      </c>
      <c r="B109" s="34" t="s">
        <v>180</v>
      </c>
      <c r="C109" s="401">
        <v>3</v>
      </c>
    </row>
    <row r="110" ht="15.75" hidden="1"/>
    <row r="111" ht="15.75" hidden="1"/>
    <row r="112" ht="15.75" hidden="1"/>
    <row r="113" ht="15.75" hidden="1"/>
    <row r="114" ht="15.75" hidden="1"/>
    <row r="115" ht="15.75" hidden="1"/>
    <row r="116" ht="15.75" hidden="1"/>
    <row r="117" ht="15.75" customHeight="1" hidden="1"/>
    <row r="118" ht="15.75" hidden="1"/>
    <row r="119" ht="15.75" hidden="1"/>
    <row r="120" spans="1:3" ht="16.5" customHeight="1" hidden="1">
      <c r="A120" s="1474" t="s">
        <v>182</v>
      </c>
      <c r="B120" s="1475"/>
      <c r="C120" s="1475"/>
    </row>
    <row r="121" spans="1:3" ht="18.75" hidden="1">
      <c r="A121" s="1476" t="s">
        <v>70</v>
      </c>
      <c r="B121" s="1477"/>
      <c r="C121" s="387" t="s">
        <v>341</v>
      </c>
    </row>
    <row r="122" spans="1:3" ht="15.75" hidden="1">
      <c r="A122" s="1472" t="s">
        <v>6</v>
      </c>
      <c r="B122" s="1473"/>
      <c r="C122" s="399">
        <v>1</v>
      </c>
    </row>
    <row r="123" spans="1:3" ht="24.75" customHeight="1" hidden="1">
      <c r="A123" s="397" t="s">
        <v>52</v>
      </c>
      <c r="B123" s="398" t="s">
        <v>349</v>
      </c>
      <c r="C123" s="400">
        <f>SUM(C124:C129)</f>
        <v>0</v>
      </c>
    </row>
    <row r="124" spans="1:3" ht="24.75" customHeight="1" hidden="1">
      <c r="A124" s="5" t="s">
        <v>54</v>
      </c>
      <c r="B124" s="34" t="s">
        <v>153</v>
      </c>
      <c r="C124" s="401"/>
    </row>
    <row r="125" spans="1:3" ht="24.75" customHeight="1" hidden="1">
      <c r="A125" s="5" t="s">
        <v>55</v>
      </c>
      <c r="B125" s="34" t="s">
        <v>154</v>
      </c>
      <c r="C125" s="401"/>
    </row>
    <row r="126" spans="1:3" ht="24.75" customHeight="1" hidden="1">
      <c r="A126" s="5" t="s">
        <v>141</v>
      </c>
      <c r="B126" s="34" t="s">
        <v>155</v>
      </c>
      <c r="C126" s="401"/>
    </row>
    <row r="127" spans="1:3" ht="24.75" customHeight="1" hidden="1">
      <c r="A127" s="5" t="s">
        <v>143</v>
      </c>
      <c r="B127" s="34" t="s">
        <v>156</v>
      </c>
      <c r="C127" s="401"/>
    </row>
    <row r="128" spans="1:3" ht="24.75" customHeight="1" hidden="1">
      <c r="A128" s="5" t="s">
        <v>145</v>
      </c>
      <c r="B128" s="34" t="s">
        <v>157</v>
      </c>
      <c r="C128" s="401"/>
    </row>
    <row r="129" spans="1:3" ht="24.75" customHeight="1" hidden="1">
      <c r="A129" s="5" t="s">
        <v>147</v>
      </c>
      <c r="B129" s="34" t="s">
        <v>158</v>
      </c>
      <c r="C129" s="401"/>
    </row>
    <row r="130" spans="1:3" ht="24.75" customHeight="1" hidden="1">
      <c r="A130" s="397" t="s">
        <v>53</v>
      </c>
      <c r="B130" s="398" t="s">
        <v>347</v>
      </c>
      <c r="C130" s="400">
        <f>SUM(C131:C132)</f>
        <v>0</v>
      </c>
    </row>
    <row r="131" spans="1:3" ht="24.75" customHeight="1" hidden="1">
      <c r="A131" s="5" t="s">
        <v>56</v>
      </c>
      <c r="B131" s="34" t="s">
        <v>159</v>
      </c>
      <c r="C131" s="401"/>
    </row>
    <row r="132" spans="1:3" ht="24.75" customHeight="1" hidden="1">
      <c r="A132" s="5" t="s">
        <v>57</v>
      </c>
      <c r="B132" s="34" t="s">
        <v>160</v>
      </c>
      <c r="C132" s="401"/>
    </row>
    <row r="133" spans="1:3" ht="24.75" customHeight="1" hidden="1">
      <c r="A133" s="397" t="s">
        <v>58</v>
      </c>
      <c r="B133" s="398" t="s">
        <v>150</v>
      </c>
      <c r="C133" s="400">
        <f>SUM(C134:C136)</f>
        <v>12</v>
      </c>
    </row>
    <row r="134" spans="1:3" ht="24.75" customHeight="1" hidden="1">
      <c r="A134" s="5" t="s">
        <v>161</v>
      </c>
      <c r="B134" s="37" t="s">
        <v>162</v>
      </c>
      <c r="C134" s="401">
        <v>12</v>
      </c>
    </row>
    <row r="135" spans="1:3" ht="24.75" customHeight="1" hidden="1">
      <c r="A135" s="5" t="s">
        <v>163</v>
      </c>
      <c r="B135" s="34" t="s">
        <v>164</v>
      </c>
      <c r="C135" s="401"/>
    </row>
    <row r="136" spans="1:3" ht="24.75" customHeight="1" hidden="1">
      <c r="A136" s="5" t="s">
        <v>165</v>
      </c>
      <c r="B136" s="34" t="s">
        <v>166</v>
      </c>
      <c r="C136" s="401"/>
    </row>
    <row r="137" spans="1:3" ht="24.75" customHeight="1" hidden="1">
      <c r="A137" s="397" t="s">
        <v>73</v>
      </c>
      <c r="B137" s="398" t="s">
        <v>348</v>
      </c>
      <c r="C137" s="400">
        <f>SUM(C138:C143)</f>
        <v>0</v>
      </c>
    </row>
    <row r="138" spans="1:3" ht="24.75" customHeight="1" hidden="1">
      <c r="A138" s="5" t="s">
        <v>167</v>
      </c>
      <c r="B138" s="34" t="s">
        <v>168</v>
      </c>
      <c r="C138" s="401"/>
    </row>
    <row r="139" spans="1:3" ht="24.75" customHeight="1" hidden="1">
      <c r="A139" s="5" t="s">
        <v>169</v>
      </c>
      <c r="B139" s="34" t="s">
        <v>170</v>
      </c>
      <c r="C139" s="401"/>
    </row>
    <row r="140" spans="1:3" ht="24.75" customHeight="1" hidden="1">
      <c r="A140" s="5" t="s">
        <v>171</v>
      </c>
      <c r="B140" s="34" t="s">
        <v>172</v>
      </c>
      <c r="C140" s="401"/>
    </row>
    <row r="141" spans="1:3" ht="24.75" customHeight="1" hidden="1">
      <c r="A141" s="5" t="s">
        <v>173</v>
      </c>
      <c r="B141" s="34" t="s">
        <v>156</v>
      </c>
      <c r="C141" s="401"/>
    </row>
    <row r="142" spans="1:3" ht="24.75" customHeight="1" hidden="1">
      <c r="A142" s="5" t="s">
        <v>174</v>
      </c>
      <c r="B142" s="34" t="s">
        <v>157</v>
      </c>
      <c r="C142" s="401"/>
    </row>
    <row r="143" spans="1:3" ht="24.75" customHeight="1" hidden="1">
      <c r="A143" s="5" t="s">
        <v>175</v>
      </c>
      <c r="B143" s="34" t="s">
        <v>176</v>
      </c>
      <c r="C143" s="401"/>
    </row>
    <row r="144" spans="1:3" ht="24.75" customHeight="1" hidden="1">
      <c r="A144" s="397" t="s">
        <v>74</v>
      </c>
      <c r="B144" s="398" t="s">
        <v>350</v>
      </c>
      <c r="C144" s="400">
        <f>SUM(C145:C147)</f>
        <v>19</v>
      </c>
    </row>
    <row r="145" spans="1:3" ht="24.75" customHeight="1" hidden="1">
      <c r="A145" s="5" t="s">
        <v>177</v>
      </c>
      <c r="B145" s="34" t="s">
        <v>168</v>
      </c>
      <c r="C145" s="401"/>
    </row>
    <row r="146" spans="1:3" ht="24.75" customHeight="1" hidden="1">
      <c r="A146" s="5" t="s">
        <v>178</v>
      </c>
      <c r="B146" s="34" t="s">
        <v>170</v>
      </c>
      <c r="C146" s="401"/>
    </row>
    <row r="147" spans="1:3" ht="24.75" customHeight="1" hidden="1">
      <c r="A147" s="5" t="s">
        <v>179</v>
      </c>
      <c r="B147" s="34" t="s">
        <v>180</v>
      </c>
      <c r="C147" s="401">
        <v>19</v>
      </c>
    </row>
    <row r="148" ht="15.75" hidden="1"/>
    <row r="149" ht="15.75" hidden="1"/>
    <row r="150" ht="15.75" hidden="1"/>
    <row r="151" ht="15.75" hidden="1"/>
    <row r="152" ht="15.75" hidden="1"/>
    <row r="153" ht="15.75" hidden="1"/>
    <row r="154" ht="15.75" hidden="1"/>
    <row r="155" ht="15.75" hidden="1"/>
    <row r="156" ht="15.75" hidden="1"/>
    <row r="157" ht="15.75" customHeight="1" hidden="1"/>
    <row r="158" ht="15.75" hidden="1"/>
    <row r="159" ht="15.75" hidden="1"/>
    <row r="160" spans="1:3" ht="16.5" customHeight="1" hidden="1">
      <c r="A160" s="1474" t="s">
        <v>182</v>
      </c>
      <c r="B160" s="1475"/>
      <c r="C160" s="1475"/>
    </row>
    <row r="161" spans="1:3" ht="18.75" hidden="1">
      <c r="A161" s="1476" t="s">
        <v>70</v>
      </c>
      <c r="B161" s="1477"/>
      <c r="C161" s="387" t="s">
        <v>341</v>
      </c>
    </row>
    <row r="162" spans="1:3" ht="15.75" hidden="1">
      <c r="A162" s="1472" t="s">
        <v>6</v>
      </c>
      <c r="B162" s="1473"/>
      <c r="C162" s="399">
        <v>1</v>
      </c>
    </row>
    <row r="163" spans="1:3" ht="24.75" customHeight="1" hidden="1">
      <c r="A163" s="397" t="s">
        <v>52</v>
      </c>
      <c r="B163" s="398" t="s">
        <v>349</v>
      </c>
      <c r="C163" s="400">
        <f>SUM(C164:C169)</f>
        <v>0</v>
      </c>
    </row>
    <row r="164" spans="1:3" ht="24.75" customHeight="1" hidden="1">
      <c r="A164" s="5" t="s">
        <v>54</v>
      </c>
      <c r="B164" s="34" t="s">
        <v>153</v>
      </c>
      <c r="C164" s="401"/>
    </row>
    <row r="165" spans="1:3" ht="24.75" customHeight="1" hidden="1">
      <c r="A165" s="5" t="s">
        <v>55</v>
      </c>
      <c r="B165" s="34" t="s">
        <v>154</v>
      </c>
      <c r="C165" s="401"/>
    </row>
    <row r="166" spans="1:3" ht="24.75" customHeight="1" hidden="1">
      <c r="A166" s="5" t="s">
        <v>141</v>
      </c>
      <c r="B166" s="34" t="s">
        <v>155</v>
      </c>
      <c r="C166" s="401"/>
    </row>
    <row r="167" spans="1:3" ht="24.75" customHeight="1" hidden="1">
      <c r="A167" s="5" t="s">
        <v>143</v>
      </c>
      <c r="B167" s="34" t="s">
        <v>156</v>
      </c>
      <c r="C167" s="401"/>
    </row>
    <row r="168" spans="1:3" ht="24.75" customHeight="1" hidden="1">
      <c r="A168" s="5" t="s">
        <v>145</v>
      </c>
      <c r="B168" s="34" t="s">
        <v>157</v>
      </c>
      <c r="C168" s="401"/>
    </row>
    <row r="169" spans="1:3" ht="24.75" customHeight="1" hidden="1">
      <c r="A169" s="5" t="s">
        <v>147</v>
      </c>
      <c r="B169" s="34" t="s">
        <v>158</v>
      </c>
      <c r="C169" s="401"/>
    </row>
    <row r="170" spans="1:3" ht="24.75" customHeight="1" hidden="1">
      <c r="A170" s="397" t="s">
        <v>53</v>
      </c>
      <c r="B170" s="398" t="s">
        <v>347</v>
      </c>
      <c r="C170" s="400">
        <f>SUM(C171:C172)</f>
        <v>0</v>
      </c>
    </row>
    <row r="171" spans="1:3" ht="24.75" customHeight="1" hidden="1">
      <c r="A171" s="5" t="s">
        <v>56</v>
      </c>
      <c r="B171" s="34" t="s">
        <v>159</v>
      </c>
      <c r="C171" s="401"/>
    </row>
    <row r="172" spans="1:3" ht="24.75" customHeight="1" hidden="1">
      <c r="A172" s="5" t="s">
        <v>57</v>
      </c>
      <c r="B172" s="34" t="s">
        <v>160</v>
      </c>
      <c r="C172" s="401"/>
    </row>
    <row r="173" spans="1:3" ht="24.75" customHeight="1" hidden="1">
      <c r="A173" s="397" t="s">
        <v>58</v>
      </c>
      <c r="B173" s="398" t="s">
        <v>150</v>
      </c>
      <c r="C173" s="400">
        <f>SUM(C174:C176)</f>
        <v>0</v>
      </c>
    </row>
    <row r="174" spans="1:3" ht="24.75" customHeight="1" hidden="1">
      <c r="A174" s="5" t="s">
        <v>161</v>
      </c>
      <c r="B174" s="37" t="s">
        <v>162</v>
      </c>
      <c r="C174" s="401"/>
    </row>
    <row r="175" spans="1:3" ht="24.75" customHeight="1" hidden="1">
      <c r="A175" s="5" t="s">
        <v>163</v>
      </c>
      <c r="B175" s="34" t="s">
        <v>164</v>
      </c>
      <c r="C175" s="401"/>
    </row>
    <row r="176" spans="1:3" ht="24.75" customHeight="1" hidden="1">
      <c r="A176" s="5" t="s">
        <v>165</v>
      </c>
      <c r="B176" s="34" t="s">
        <v>166</v>
      </c>
      <c r="C176" s="401"/>
    </row>
    <row r="177" spans="1:3" ht="24.75" customHeight="1" hidden="1">
      <c r="A177" s="397" t="s">
        <v>73</v>
      </c>
      <c r="B177" s="398" t="s">
        <v>348</v>
      </c>
      <c r="C177" s="400">
        <f>SUM(C178:C183)</f>
        <v>1</v>
      </c>
    </row>
    <row r="178" spans="1:3" ht="24.75" customHeight="1" hidden="1">
      <c r="A178" s="5" t="s">
        <v>167</v>
      </c>
      <c r="B178" s="34" t="s">
        <v>168</v>
      </c>
      <c r="C178" s="401">
        <v>1</v>
      </c>
    </row>
    <row r="179" spans="1:3" ht="24.75" customHeight="1" hidden="1">
      <c r="A179" s="5" t="s">
        <v>169</v>
      </c>
      <c r="B179" s="34" t="s">
        <v>170</v>
      </c>
      <c r="C179" s="401">
        <v>0</v>
      </c>
    </row>
    <row r="180" spans="1:3" ht="24.75" customHeight="1" hidden="1">
      <c r="A180" s="5" t="s">
        <v>171</v>
      </c>
      <c r="B180" s="34" t="s">
        <v>172</v>
      </c>
      <c r="C180" s="401">
        <v>0</v>
      </c>
    </row>
    <row r="181" spans="1:3" ht="24.75" customHeight="1" hidden="1">
      <c r="A181" s="5" t="s">
        <v>173</v>
      </c>
      <c r="B181" s="34" t="s">
        <v>156</v>
      </c>
      <c r="C181" s="401">
        <v>0</v>
      </c>
    </row>
    <row r="182" spans="1:3" ht="24.75" customHeight="1" hidden="1">
      <c r="A182" s="5" t="s">
        <v>174</v>
      </c>
      <c r="B182" s="34" t="s">
        <v>157</v>
      </c>
      <c r="C182" s="401">
        <v>0</v>
      </c>
    </row>
    <row r="183" spans="1:3" ht="24.75" customHeight="1" hidden="1">
      <c r="A183" s="5" t="s">
        <v>175</v>
      </c>
      <c r="B183" s="34" t="s">
        <v>176</v>
      </c>
      <c r="C183" s="401">
        <v>0</v>
      </c>
    </row>
    <row r="184" spans="1:3" ht="24.75" customHeight="1" hidden="1">
      <c r="A184" s="397" t="s">
        <v>74</v>
      </c>
      <c r="B184" s="398" t="s">
        <v>350</v>
      </c>
      <c r="C184" s="400">
        <f>SUM(C185:C187)</f>
        <v>74</v>
      </c>
    </row>
    <row r="185" spans="1:3" ht="24.75" customHeight="1" hidden="1">
      <c r="A185" s="5" t="s">
        <v>177</v>
      </c>
      <c r="B185" s="34" t="s">
        <v>168</v>
      </c>
      <c r="C185" s="401">
        <v>66</v>
      </c>
    </row>
    <row r="186" spans="1:3" ht="24.75" customHeight="1" hidden="1">
      <c r="A186" s="5" t="s">
        <v>178</v>
      </c>
      <c r="B186" s="34" t="s">
        <v>170</v>
      </c>
      <c r="C186" s="401">
        <v>0</v>
      </c>
    </row>
    <row r="187" spans="1:3" ht="24.75" customHeight="1" hidden="1">
      <c r="A187" s="5" t="s">
        <v>179</v>
      </c>
      <c r="B187" s="34" t="s">
        <v>180</v>
      </c>
      <c r="C187" s="401">
        <v>8</v>
      </c>
    </row>
    <row r="188" ht="15.75" hidden="1"/>
    <row r="189" ht="15.75" hidden="1"/>
    <row r="190" ht="15.75" hidden="1"/>
    <row r="191" ht="15.75" hidden="1"/>
    <row r="192" ht="15.75" hidden="1"/>
    <row r="193" ht="15.75" hidden="1"/>
    <row r="194" ht="15.75" hidden="1"/>
    <row r="195" ht="15.75" hidden="1"/>
    <row r="196" ht="15.75" customHeight="1" hidden="1"/>
    <row r="197" ht="15.75" hidden="1"/>
    <row r="198" ht="15.75" hidden="1"/>
    <row r="199" spans="1:3" ht="16.5" customHeight="1" hidden="1">
      <c r="A199" s="1474" t="s">
        <v>182</v>
      </c>
      <c r="B199" s="1475"/>
      <c r="C199" s="1475"/>
    </row>
    <row r="200" spans="1:3" ht="18.75" hidden="1">
      <c r="A200" s="1476" t="s">
        <v>70</v>
      </c>
      <c r="B200" s="1477"/>
      <c r="C200" s="387" t="s">
        <v>341</v>
      </c>
    </row>
    <row r="201" spans="1:3" ht="15.75" hidden="1">
      <c r="A201" s="1472" t="s">
        <v>6</v>
      </c>
      <c r="B201" s="1473"/>
      <c r="C201" s="399">
        <v>1</v>
      </c>
    </row>
    <row r="202" spans="1:3" ht="24.75" customHeight="1" hidden="1">
      <c r="A202" s="397" t="s">
        <v>52</v>
      </c>
      <c r="B202" s="398" t="s">
        <v>349</v>
      </c>
      <c r="C202" s="400">
        <f>SUM(C203:C208)</f>
        <v>0</v>
      </c>
    </row>
    <row r="203" spans="1:3" ht="24.75" customHeight="1" hidden="1">
      <c r="A203" s="5" t="s">
        <v>54</v>
      </c>
      <c r="B203" s="34" t="s">
        <v>153</v>
      </c>
      <c r="C203" s="401"/>
    </row>
    <row r="204" spans="1:3" ht="24.75" customHeight="1" hidden="1">
      <c r="A204" s="5" t="s">
        <v>55</v>
      </c>
      <c r="B204" s="34" t="s">
        <v>154</v>
      </c>
      <c r="C204" s="401"/>
    </row>
    <row r="205" spans="1:3" ht="24.75" customHeight="1" hidden="1">
      <c r="A205" s="5" t="s">
        <v>141</v>
      </c>
      <c r="B205" s="34" t="s">
        <v>155</v>
      </c>
      <c r="C205" s="401"/>
    </row>
    <row r="206" spans="1:3" ht="24.75" customHeight="1" hidden="1">
      <c r="A206" s="5" t="s">
        <v>143</v>
      </c>
      <c r="B206" s="34" t="s">
        <v>156</v>
      </c>
      <c r="C206" s="401"/>
    </row>
    <row r="207" spans="1:3" ht="24.75" customHeight="1" hidden="1">
      <c r="A207" s="5" t="s">
        <v>145</v>
      </c>
      <c r="B207" s="34" t="s">
        <v>157</v>
      </c>
      <c r="C207" s="401"/>
    </row>
    <row r="208" spans="1:3" ht="24.75" customHeight="1" hidden="1">
      <c r="A208" s="5" t="s">
        <v>147</v>
      </c>
      <c r="B208" s="34" t="s">
        <v>158</v>
      </c>
      <c r="C208" s="401"/>
    </row>
    <row r="209" spans="1:3" ht="24.75" customHeight="1" hidden="1">
      <c r="A209" s="397" t="s">
        <v>53</v>
      </c>
      <c r="B209" s="398" t="s">
        <v>347</v>
      </c>
      <c r="C209" s="400">
        <f>SUM(C210:C211)</f>
        <v>0</v>
      </c>
    </row>
    <row r="210" spans="1:3" ht="24.75" customHeight="1" hidden="1">
      <c r="A210" s="5" t="s">
        <v>56</v>
      </c>
      <c r="B210" s="34" t="s">
        <v>159</v>
      </c>
      <c r="C210" s="401"/>
    </row>
    <row r="211" spans="1:3" ht="24.75" customHeight="1" hidden="1">
      <c r="A211" s="5" t="s">
        <v>57</v>
      </c>
      <c r="B211" s="34" t="s">
        <v>160</v>
      </c>
      <c r="C211" s="401"/>
    </row>
    <row r="212" spans="1:3" ht="24.75" customHeight="1" hidden="1">
      <c r="A212" s="397" t="s">
        <v>58</v>
      </c>
      <c r="B212" s="398" t="s">
        <v>150</v>
      </c>
      <c r="C212" s="400">
        <f>SUM(C213:C215)</f>
        <v>0</v>
      </c>
    </row>
    <row r="213" spans="1:3" ht="24.75" customHeight="1" hidden="1">
      <c r="A213" s="5" t="s">
        <v>161</v>
      </c>
      <c r="B213" s="37" t="s">
        <v>162</v>
      </c>
      <c r="C213" s="401"/>
    </row>
    <row r="214" spans="1:3" ht="24.75" customHeight="1" hidden="1">
      <c r="A214" s="5" t="s">
        <v>163</v>
      </c>
      <c r="B214" s="34" t="s">
        <v>164</v>
      </c>
      <c r="C214" s="401"/>
    </row>
    <row r="215" spans="1:3" ht="24.75" customHeight="1" hidden="1">
      <c r="A215" s="5" t="s">
        <v>165</v>
      </c>
      <c r="B215" s="34" t="s">
        <v>166</v>
      </c>
      <c r="C215" s="401"/>
    </row>
    <row r="216" spans="1:3" ht="24.75" customHeight="1" hidden="1">
      <c r="A216" s="397" t="s">
        <v>73</v>
      </c>
      <c r="B216" s="398" t="s">
        <v>348</v>
      </c>
      <c r="C216" s="400">
        <f>SUM(C217:C222)</f>
        <v>0</v>
      </c>
    </row>
    <row r="217" spans="1:3" ht="24.75" customHeight="1" hidden="1">
      <c r="A217" s="5" t="s">
        <v>167</v>
      </c>
      <c r="B217" s="34" t="s">
        <v>168</v>
      </c>
      <c r="C217" s="401"/>
    </row>
    <row r="218" spans="1:3" ht="24.75" customHeight="1" hidden="1">
      <c r="A218" s="5" t="s">
        <v>169</v>
      </c>
      <c r="B218" s="34" t="s">
        <v>170</v>
      </c>
      <c r="C218" s="401"/>
    </row>
    <row r="219" spans="1:3" ht="24.75" customHeight="1" hidden="1">
      <c r="A219" s="5" t="s">
        <v>171</v>
      </c>
      <c r="B219" s="34" t="s">
        <v>172</v>
      </c>
      <c r="C219" s="401"/>
    </row>
    <row r="220" spans="1:3" ht="24.75" customHeight="1" hidden="1">
      <c r="A220" s="5" t="s">
        <v>173</v>
      </c>
      <c r="B220" s="34" t="s">
        <v>156</v>
      </c>
      <c r="C220" s="401"/>
    </row>
    <row r="221" spans="1:3" ht="24.75" customHeight="1" hidden="1">
      <c r="A221" s="5" t="s">
        <v>174</v>
      </c>
      <c r="B221" s="34" t="s">
        <v>157</v>
      </c>
      <c r="C221" s="401"/>
    </row>
    <row r="222" spans="1:3" ht="24.75" customHeight="1" hidden="1">
      <c r="A222" s="5" t="s">
        <v>175</v>
      </c>
      <c r="B222" s="34" t="s">
        <v>176</v>
      </c>
      <c r="C222" s="401"/>
    </row>
    <row r="223" spans="1:3" ht="24.75" customHeight="1" hidden="1">
      <c r="A223" s="397" t="s">
        <v>74</v>
      </c>
      <c r="B223" s="398" t="s">
        <v>350</v>
      </c>
      <c r="C223" s="400">
        <f>SUM(C224:C226)</f>
        <v>7</v>
      </c>
    </row>
    <row r="224" spans="1:3" ht="24.75" customHeight="1" hidden="1">
      <c r="A224" s="5" t="s">
        <v>177</v>
      </c>
      <c r="B224" s="34" t="s">
        <v>168</v>
      </c>
      <c r="C224" s="401">
        <v>7</v>
      </c>
    </row>
    <row r="225" spans="1:3" ht="24.75" customHeight="1" hidden="1">
      <c r="A225" s="5" t="s">
        <v>178</v>
      </c>
      <c r="B225" s="34" t="s">
        <v>170</v>
      </c>
      <c r="C225" s="401">
        <v>0</v>
      </c>
    </row>
    <row r="226" spans="1:3" ht="24.75" customHeight="1" hidden="1">
      <c r="A226" s="5" t="s">
        <v>179</v>
      </c>
      <c r="B226" s="34" t="s">
        <v>180</v>
      </c>
      <c r="C226" s="401">
        <v>0</v>
      </c>
    </row>
    <row r="227" ht="15.75" hidden="1"/>
    <row r="228" ht="15.75" hidden="1"/>
    <row r="229" ht="15.75" hidden="1"/>
    <row r="230" ht="15.75" hidden="1"/>
    <row r="231" ht="15.75" hidden="1"/>
    <row r="232" ht="15.75" hidden="1"/>
    <row r="233" ht="15.75" hidden="1"/>
    <row r="234" ht="15.75" customHeight="1" hidden="1"/>
    <row r="235" ht="15.75" hidden="1"/>
    <row r="236" ht="15.75" hidden="1"/>
    <row r="237" spans="1:3" ht="16.5" customHeight="1" hidden="1">
      <c r="A237" s="1474" t="s">
        <v>182</v>
      </c>
      <c r="B237" s="1475"/>
      <c r="C237" s="1475"/>
    </row>
    <row r="238" spans="1:3" ht="18.75" hidden="1">
      <c r="A238" s="1476" t="s">
        <v>70</v>
      </c>
      <c r="B238" s="1477"/>
      <c r="C238" s="387" t="s">
        <v>341</v>
      </c>
    </row>
    <row r="239" spans="1:3" ht="15.75" hidden="1">
      <c r="A239" s="1472" t="s">
        <v>6</v>
      </c>
      <c r="B239" s="1473"/>
      <c r="C239" s="399">
        <v>1</v>
      </c>
    </row>
    <row r="240" spans="1:3" ht="24.75" customHeight="1" hidden="1">
      <c r="A240" s="397" t="s">
        <v>52</v>
      </c>
      <c r="B240" s="398" t="s">
        <v>349</v>
      </c>
      <c r="C240" s="400">
        <f>SUM(C241:C246)</f>
        <v>0</v>
      </c>
    </row>
    <row r="241" spans="1:3" ht="24.75" customHeight="1" hidden="1">
      <c r="A241" s="5" t="s">
        <v>54</v>
      </c>
      <c r="B241" s="34" t="s">
        <v>153</v>
      </c>
      <c r="C241" s="401"/>
    </row>
    <row r="242" spans="1:3" ht="24.75" customHeight="1" hidden="1">
      <c r="A242" s="5" t="s">
        <v>55</v>
      </c>
      <c r="B242" s="34" t="s">
        <v>154</v>
      </c>
      <c r="C242" s="401"/>
    </row>
    <row r="243" spans="1:3" ht="24.75" customHeight="1" hidden="1">
      <c r="A243" s="5" t="s">
        <v>141</v>
      </c>
      <c r="B243" s="34" t="s">
        <v>155</v>
      </c>
      <c r="C243" s="401"/>
    </row>
    <row r="244" spans="1:3" ht="24.75" customHeight="1" hidden="1">
      <c r="A244" s="5" t="s">
        <v>143</v>
      </c>
      <c r="B244" s="34" t="s">
        <v>156</v>
      </c>
      <c r="C244" s="401"/>
    </row>
    <row r="245" spans="1:3" ht="24.75" customHeight="1" hidden="1">
      <c r="A245" s="5" t="s">
        <v>145</v>
      </c>
      <c r="B245" s="34" t="s">
        <v>157</v>
      </c>
      <c r="C245" s="401"/>
    </row>
    <row r="246" spans="1:3" ht="24.75" customHeight="1" hidden="1">
      <c r="A246" s="5" t="s">
        <v>147</v>
      </c>
      <c r="B246" s="34" t="s">
        <v>158</v>
      </c>
      <c r="C246" s="401"/>
    </row>
    <row r="247" spans="1:3" ht="24.75" customHeight="1" hidden="1">
      <c r="A247" s="397" t="s">
        <v>53</v>
      </c>
      <c r="B247" s="398" t="s">
        <v>347</v>
      </c>
      <c r="C247" s="400">
        <f>SUM(C248:C249)</f>
        <v>0</v>
      </c>
    </row>
    <row r="248" spans="1:3" ht="24.75" customHeight="1" hidden="1">
      <c r="A248" s="5" t="s">
        <v>56</v>
      </c>
      <c r="B248" s="34" t="s">
        <v>159</v>
      </c>
      <c r="C248" s="401"/>
    </row>
    <row r="249" spans="1:3" ht="24.75" customHeight="1" hidden="1">
      <c r="A249" s="5" t="s">
        <v>57</v>
      </c>
      <c r="B249" s="34" t="s">
        <v>160</v>
      </c>
      <c r="C249" s="401"/>
    </row>
    <row r="250" spans="1:3" ht="24.75" customHeight="1" hidden="1">
      <c r="A250" s="397" t="s">
        <v>58</v>
      </c>
      <c r="B250" s="398" t="s">
        <v>150</v>
      </c>
      <c r="C250" s="400">
        <f>SUM(C251:C253)</f>
        <v>0</v>
      </c>
    </row>
    <row r="251" spans="1:3" ht="24.75" customHeight="1" hidden="1">
      <c r="A251" s="5" t="s">
        <v>161</v>
      </c>
      <c r="B251" s="37" t="s">
        <v>162</v>
      </c>
      <c r="C251" s="401"/>
    </row>
    <row r="252" spans="1:3" ht="24.75" customHeight="1" hidden="1">
      <c r="A252" s="5" t="s">
        <v>163</v>
      </c>
      <c r="B252" s="34" t="s">
        <v>164</v>
      </c>
      <c r="C252" s="401"/>
    </row>
    <row r="253" spans="1:3" ht="24.75" customHeight="1" hidden="1">
      <c r="A253" s="5" t="s">
        <v>165</v>
      </c>
      <c r="B253" s="34" t="s">
        <v>166</v>
      </c>
      <c r="C253" s="401"/>
    </row>
    <row r="254" spans="1:3" ht="24.75" customHeight="1" hidden="1">
      <c r="A254" s="397" t="s">
        <v>73</v>
      </c>
      <c r="B254" s="398" t="s">
        <v>348</v>
      </c>
      <c r="C254" s="400">
        <f>SUM(C255:C260)</f>
        <v>0</v>
      </c>
    </row>
    <row r="255" spans="1:3" ht="24.75" customHeight="1" hidden="1">
      <c r="A255" s="5" t="s">
        <v>167</v>
      </c>
      <c r="B255" s="34" t="s">
        <v>168</v>
      </c>
      <c r="C255" s="401"/>
    </row>
    <row r="256" spans="1:3" ht="24.75" customHeight="1" hidden="1">
      <c r="A256" s="5" t="s">
        <v>169</v>
      </c>
      <c r="B256" s="34" t="s">
        <v>170</v>
      </c>
      <c r="C256" s="401"/>
    </row>
    <row r="257" spans="1:3" ht="24.75" customHeight="1" hidden="1">
      <c r="A257" s="5" t="s">
        <v>171</v>
      </c>
      <c r="B257" s="34" t="s">
        <v>172</v>
      </c>
      <c r="C257" s="401"/>
    </row>
    <row r="258" spans="1:3" ht="24.75" customHeight="1" hidden="1">
      <c r="A258" s="5" t="s">
        <v>173</v>
      </c>
      <c r="B258" s="34" t="s">
        <v>156</v>
      </c>
      <c r="C258" s="401"/>
    </row>
    <row r="259" spans="1:3" ht="24.75" customHeight="1" hidden="1">
      <c r="A259" s="5" t="s">
        <v>174</v>
      </c>
      <c r="B259" s="34" t="s">
        <v>157</v>
      </c>
      <c r="C259" s="401"/>
    </row>
    <row r="260" spans="1:3" ht="24.75" customHeight="1" hidden="1">
      <c r="A260" s="5" t="s">
        <v>175</v>
      </c>
      <c r="B260" s="34" t="s">
        <v>176</v>
      </c>
      <c r="C260" s="401"/>
    </row>
    <row r="261" spans="1:3" ht="24.75" customHeight="1" hidden="1">
      <c r="A261" s="397" t="s">
        <v>74</v>
      </c>
      <c r="B261" s="398" t="s">
        <v>350</v>
      </c>
      <c r="C261" s="400">
        <f>SUM(C262:C264)</f>
        <v>45</v>
      </c>
    </row>
    <row r="262" spans="1:3" ht="24.75" customHeight="1" hidden="1">
      <c r="A262" s="5" t="s">
        <v>177</v>
      </c>
      <c r="B262" s="34" t="s">
        <v>168</v>
      </c>
      <c r="C262" s="401">
        <v>45</v>
      </c>
    </row>
    <row r="263" spans="1:3" ht="24.75" customHeight="1" hidden="1">
      <c r="A263" s="5" t="s">
        <v>178</v>
      </c>
      <c r="B263" s="34" t="s">
        <v>170</v>
      </c>
      <c r="C263" s="401">
        <v>0</v>
      </c>
    </row>
    <row r="264" spans="1:3" ht="24.75" customHeight="1" hidden="1">
      <c r="A264" s="5" t="s">
        <v>179</v>
      </c>
      <c r="B264" s="34" t="s">
        <v>180</v>
      </c>
      <c r="C264" s="401">
        <v>0</v>
      </c>
    </row>
    <row r="265" ht="15.75" hidden="1"/>
    <row r="266" ht="15.75" hidden="1"/>
    <row r="267" ht="15.75" hidden="1"/>
    <row r="268" ht="15.75" hidden="1"/>
    <row r="269" ht="15.75" hidden="1"/>
    <row r="270" ht="15.75" hidden="1"/>
    <row r="271" ht="15.75" hidden="1"/>
    <row r="272" ht="15.75" hidden="1"/>
    <row r="273" ht="15.75" hidden="1"/>
    <row r="274" ht="15.75" customHeight="1" hidden="1"/>
    <row r="275" ht="15.75" hidden="1"/>
    <row r="276" ht="15.75" hidden="1"/>
    <row r="277" spans="1:3" ht="16.5" customHeight="1" hidden="1">
      <c r="A277" s="1474" t="s">
        <v>182</v>
      </c>
      <c r="B277" s="1475"/>
      <c r="C277" s="1475"/>
    </row>
    <row r="278" spans="1:3" ht="18.75" hidden="1">
      <c r="A278" s="1476" t="s">
        <v>70</v>
      </c>
      <c r="B278" s="1477"/>
      <c r="C278" s="387" t="s">
        <v>341</v>
      </c>
    </row>
    <row r="279" spans="1:3" ht="15.75" hidden="1">
      <c r="A279" s="1472" t="s">
        <v>6</v>
      </c>
      <c r="B279" s="1473"/>
      <c r="C279" s="399">
        <v>1</v>
      </c>
    </row>
    <row r="280" spans="1:3" ht="24.75" customHeight="1" hidden="1">
      <c r="A280" s="397" t="s">
        <v>52</v>
      </c>
      <c r="B280" s="398" t="s">
        <v>349</v>
      </c>
      <c r="C280" s="400">
        <f>SUM(C281:C286)</f>
        <v>0</v>
      </c>
    </row>
    <row r="281" spans="1:3" ht="24.75" customHeight="1" hidden="1">
      <c r="A281" s="5" t="s">
        <v>54</v>
      </c>
      <c r="B281" s="34" t="s">
        <v>153</v>
      </c>
      <c r="C281" s="401"/>
    </row>
    <row r="282" spans="1:3" ht="24.75" customHeight="1" hidden="1">
      <c r="A282" s="5" t="s">
        <v>55</v>
      </c>
      <c r="B282" s="34" t="s">
        <v>154</v>
      </c>
      <c r="C282" s="401"/>
    </row>
    <row r="283" spans="1:3" ht="24.75" customHeight="1" hidden="1">
      <c r="A283" s="5" t="s">
        <v>141</v>
      </c>
      <c r="B283" s="34" t="s">
        <v>155</v>
      </c>
      <c r="C283" s="401"/>
    </row>
    <row r="284" spans="1:3" ht="24.75" customHeight="1" hidden="1">
      <c r="A284" s="5" t="s">
        <v>143</v>
      </c>
      <c r="B284" s="34" t="s">
        <v>156</v>
      </c>
      <c r="C284" s="401"/>
    </row>
    <row r="285" spans="1:3" ht="24.75" customHeight="1" hidden="1">
      <c r="A285" s="5" t="s">
        <v>145</v>
      </c>
      <c r="B285" s="34" t="s">
        <v>157</v>
      </c>
      <c r="C285" s="401"/>
    </row>
    <row r="286" spans="1:3" ht="24.75" customHeight="1" hidden="1">
      <c r="A286" s="5" t="s">
        <v>147</v>
      </c>
      <c r="B286" s="34" t="s">
        <v>158</v>
      </c>
      <c r="C286" s="401"/>
    </row>
    <row r="287" spans="1:3" ht="24.75" customHeight="1" hidden="1">
      <c r="A287" s="397" t="s">
        <v>53</v>
      </c>
      <c r="B287" s="398" t="s">
        <v>347</v>
      </c>
      <c r="C287" s="400">
        <f>SUM(C288:C289)</f>
        <v>0</v>
      </c>
    </row>
    <row r="288" spans="1:3" ht="24.75" customHeight="1" hidden="1">
      <c r="A288" s="5" t="s">
        <v>56</v>
      </c>
      <c r="B288" s="34" t="s">
        <v>159</v>
      </c>
      <c r="C288" s="401"/>
    </row>
    <row r="289" spans="1:3" ht="24.75" customHeight="1" hidden="1">
      <c r="A289" s="5" t="s">
        <v>57</v>
      </c>
      <c r="B289" s="34" t="s">
        <v>160</v>
      </c>
      <c r="C289" s="401"/>
    </row>
    <row r="290" spans="1:3" ht="24.75" customHeight="1" hidden="1">
      <c r="A290" s="397" t="s">
        <v>58</v>
      </c>
      <c r="B290" s="398" t="s">
        <v>150</v>
      </c>
      <c r="C290" s="400">
        <f>SUM(C291:C293)</f>
        <v>0</v>
      </c>
    </row>
    <row r="291" spans="1:3" ht="24.75" customHeight="1" hidden="1">
      <c r="A291" s="5" t="s">
        <v>161</v>
      </c>
      <c r="B291" s="37" t="s">
        <v>162</v>
      </c>
      <c r="C291" s="401"/>
    </row>
    <row r="292" spans="1:3" ht="24.75" customHeight="1" hidden="1">
      <c r="A292" s="5" t="s">
        <v>163</v>
      </c>
      <c r="B292" s="34" t="s">
        <v>164</v>
      </c>
      <c r="C292" s="401"/>
    </row>
    <row r="293" spans="1:3" ht="24.75" customHeight="1" hidden="1">
      <c r="A293" s="5" t="s">
        <v>165</v>
      </c>
      <c r="B293" s="34" t="s">
        <v>166</v>
      </c>
      <c r="C293" s="401"/>
    </row>
    <row r="294" spans="1:3" ht="24.75" customHeight="1" hidden="1">
      <c r="A294" s="397" t="s">
        <v>73</v>
      </c>
      <c r="B294" s="398" t="s">
        <v>348</v>
      </c>
      <c r="C294" s="400">
        <f>SUM(C295:C300)</f>
        <v>0</v>
      </c>
    </row>
    <row r="295" spans="1:3" ht="24.75" customHeight="1" hidden="1">
      <c r="A295" s="5" t="s">
        <v>167</v>
      </c>
      <c r="B295" s="34" t="s">
        <v>168</v>
      </c>
      <c r="C295" s="401"/>
    </row>
    <row r="296" spans="1:3" ht="24.75" customHeight="1" hidden="1">
      <c r="A296" s="5" t="s">
        <v>169</v>
      </c>
      <c r="B296" s="34" t="s">
        <v>170</v>
      </c>
      <c r="C296" s="401"/>
    </row>
    <row r="297" spans="1:3" ht="24.75" customHeight="1" hidden="1">
      <c r="A297" s="5" t="s">
        <v>171</v>
      </c>
      <c r="B297" s="34" t="s">
        <v>172</v>
      </c>
      <c r="C297" s="401"/>
    </row>
    <row r="298" spans="1:3" ht="24.75" customHeight="1" hidden="1">
      <c r="A298" s="5" t="s">
        <v>173</v>
      </c>
      <c r="B298" s="34" t="s">
        <v>156</v>
      </c>
      <c r="C298" s="401"/>
    </row>
    <row r="299" spans="1:3" ht="24.75" customHeight="1" hidden="1">
      <c r="A299" s="5" t="s">
        <v>174</v>
      </c>
      <c r="B299" s="34" t="s">
        <v>157</v>
      </c>
      <c r="C299" s="401"/>
    </row>
    <row r="300" spans="1:3" ht="24.75" customHeight="1" hidden="1">
      <c r="A300" s="5" t="s">
        <v>175</v>
      </c>
      <c r="B300" s="34" t="s">
        <v>176</v>
      </c>
      <c r="C300" s="401"/>
    </row>
    <row r="301" spans="1:3" ht="24.75" customHeight="1" hidden="1">
      <c r="A301" s="397" t="s">
        <v>74</v>
      </c>
      <c r="B301" s="398" t="s">
        <v>350</v>
      </c>
      <c r="C301" s="400">
        <f>SUM(C302:C304)</f>
        <v>11</v>
      </c>
    </row>
    <row r="302" spans="1:3" ht="24.75" customHeight="1" hidden="1">
      <c r="A302" s="5" t="s">
        <v>177</v>
      </c>
      <c r="B302" s="34" t="s">
        <v>168</v>
      </c>
      <c r="C302" s="401">
        <v>9</v>
      </c>
    </row>
    <row r="303" spans="1:3" ht="24.75" customHeight="1" hidden="1">
      <c r="A303" s="5" t="s">
        <v>178</v>
      </c>
      <c r="B303" s="34" t="s">
        <v>170</v>
      </c>
      <c r="C303" s="401">
        <v>0</v>
      </c>
    </row>
    <row r="304" spans="1:3" ht="24.75" customHeight="1" hidden="1">
      <c r="A304" s="5" t="s">
        <v>179</v>
      </c>
      <c r="B304" s="34" t="s">
        <v>180</v>
      </c>
      <c r="C304" s="401">
        <v>2</v>
      </c>
    </row>
    <row r="305" ht="15.75" hidden="1"/>
    <row r="306" ht="15.75" hidden="1"/>
    <row r="307" ht="15.75" hidden="1"/>
    <row r="308" ht="15.75" hidden="1"/>
    <row r="309" ht="15.75" hidden="1"/>
    <row r="310" ht="15.75" hidden="1"/>
    <row r="311" ht="15.75" hidden="1"/>
    <row r="312" ht="15.75" customHeight="1" hidden="1"/>
    <row r="313" ht="15.75" hidden="1"/>
    <row r="314" ht="15.75" hidden="1"/>
    <row r="315" spans="1:3" ht="16.5" customHeight="1" hidden="1">
      <c r="A315" s="1474" t="s">
        <v>182</v>
      </c>
      <c r="B315" s="1475"/>
      <c r="C315" s="1475"/>
    </row>
    <row r="316" spans="1:3" ht="18.75" hidden="1">
      <c r="A316" s="1476" t="s">
        <v>70</v>
      </c>
      <c r="B316" s="1477"/>
      <c r="C316" s="387" t="s">
        <v>341</v>
      </c>
    </row>
    <row r="317" spans="1:3" ht="15.75" hidden="1">
      <c r="A317" s="1472" t="s">
        <v>6</v>
      </c>
      <c r="B317" s="1473"/>
      <c r="C317" s="399">
        <v>1</v>
      </c>
    </row>
    <row r="318" spans="1:3" ht="24.75" customHeight="1" hidden="1">
      <c r="A318" s="397" t="s">
        <v>52</v>
      </c>
      <c r="B318" s="398" t="s">
        <v>349</v>
      </c>
      <c r="C318" s="400">
        <f>SUM(C319:C324)</f>
        <v>0</v>
      </c>
    </row>
    <row r="319" spans="1:3" ht="24.75" customHeight="1" hidden="1">
      <c r="A319" s="5" t="s">
        <v>54</v>
      </c>
      <c r="B319" s="34" t="s">
        <v>153</v>
      </c>
      <c r="C319" s="401"/>
    </row>
    <row r="320" spans="1:3" ht="24.75" customHeight="1" hidden="1">
      <c r="A320" s="5" t="s">
        <v>55</v>
      </c>
      <c r="B320" s="34" t="s">
        <v>154</v>
      </c>
      <c r="C320" s="401"/>
    </row>
    <row r="321" spans="1:3" ht="24.75" customHeight="1" hidden="1">
      <c r="A321" s="5" t="s">
        <v>141</v>
      </c>
      <c r="B321" s="34" t="s">
        <v>155</v>
      </c>
      <c r="C321" s="401"/>
    </row>
    <row r="322" spans="1:3" ht="24.75" customHeight="1" hidden="1">
      <c r="A322" s="5" t="s">
        <v>143</v>
      </c>
      <c r="B322" s="34" t="s">
        <v>156</v>
      </c>
      <c r="C322" s="401"/>
    </row>
    <row r="323" spans="1:3" ht="24.75" customHeight="1" hidden="1">
      <c r="A323" s="5" t="s">
        <v>145</v>
      </c>
      <c r="B323" s="34" t="s">
        <v>157</v>
      </c>
      <c r="C323" s="401"/>
    </row>
    <row r="324" spans="1:3" ht="24.75" customHeight="1" hidden="1">
      <c r="A324" s="5" t="s">
        <v>147</v>
      </c>
      <c r="B324" s="34" t="s">
        <v>158</v>
      </c>
      <c r="C324" s="401"/>
    </row>
    <row r="325" spans="1:3" ht="24.75" customHeight="1" hidden="1">
      <c r="A325" s="397" t="s">
        <v>53</v>
      </c>
      <c r="B325" s="398" t="s">
        <v>347</v>
      </c>
      <c r="C325" s="400">
        <f>SUM(C326:C327)</f>
        <v>0</v>
      </c>
    </row>
    <row r="326" spans="1:3" ht="24.75" customHeight="1" hidden="1">
      <c r="A326" s="5" t="s">
        <v>56</v>
      </c>
      <c r="B326" s="34" t="s">
        <v>159</v>
      </c>
      <c r="C326" s="401"/>
    </row>
    <row r="327" spans="1:3" ht="24.75" customHeight="1" hidden="1">
      <c r="A327" s="5" t="s">
        <v>57</v>
      </c>
      <c r="B327" s="34" t="s">
        <v>160</v>
      </c>
      <c r="C327" s="401"/>
    </row>
    <row r="328" spans="1:3" ht="24.75" customHeight="1" hidden="1">
      <c r="A328" s="397" t="s">
        <v>58</v>
      </c>
      <c r="B328" s="398" t="s">
        <v>150</v>
      </c>
      <c r="C328" s="400">
        <f>SUM(C329:C331)</f>
        <v>0</v>
      </c>
    </row>
    <row r="329" spans="1:3" ht="24.75" customHeight="1" hidden="1">
      <c r="A329" s="5" t="s">
        <v>161</v>
      </c>
      <c r="B329" s="37" t="s">
        <v>162</v>
      </c>
      <c r="C329" s="401"/>
    </row>
    <row r="330" spans="1:3" ht="24.75" customHeight="1" hidden="1">
      <c r="A330" s="5" t="s">
        <v>163</v>
      </c>
      <c r="B330" s="34" t="s">
        <v>164</v>
      </c>
      <c r="C330" s="401"/>
    </row>
    <row r="331" spans="1:3" ht="24.75" customHeight="1" hidden="1">
      <c r="A331" s="5" t="s">
        <v>165</v>
      </c>
      <c r="B331" s="34" t="s">
        <v>166</v>
      </c>
      <c r="C331" s="401"/>
    </row>
    <row r="332" spans="1:3" ht="24.75" customHeight="1" hidden="1">
      <c r="A332" s="397" t="s">
        <v>73</v>
      </c>
      <c r="B332" s="398" t="s">
        <v>348</v>
      </c>
      <c r="C332" s="400">
        <f>SUM(C333:C338)</f>
        <v>0</v>
      </c>
    </row>
    <row r="333" spans="1:3" ht="24.75" customHeight="1" hidden="1">
      <c r="A333" s="5" t="s">
        <v>167</v>
      </c>
      <c r="B333" s="34" t="s">
        <v>168</v>
      </c>
      <c r="C333" s="401"/>
    </row>
    <row r="334" spans="1:3" ht="24.75" customHeight="1" hidden="1">
      <c r="A334" s="5" t="s">
        <v>169</v>
      </c>
      <c r="B334" s="34" t="s">
        <v>170</v>
      </c>
      <c r="C334" s="401"/>
    </row>
    <row r="335" spans="1:3" ht="24.75" customHeight="1" hidden="1">
      <c r="A335" s="5" t="s">
        <v>171</v>
      </c>
      <c r="B335" s="34" t="s">
        <v>172</v>
      </c>
      <c r="C335" s="401"/>
    </row>
    <row r="336" spans="1:3" ht="24.75" customHeight="1" hidden="1">
      <c r="A336" s="5" t="s">
        <v>173</v>
      </c>
      <c r="B336" s="34" t="s">
        <v>156</v>
      </c>
      <c r="C336" s="401"/>
    </row>
    <row r="337" spans="1:3" ht="24.75" customHeight="1" hidden="1">
      <c r="A337" s="5" t="s">
        <v>174</v>
      </c>
      <c r="B337" s="34" t="s">
        <v>157</v>
      </c>
      <c r="C337" s="401"/>
    </row>
    <row r="338" spans="1:3" ht="24.75" customHeight="1" hidden="1">
      <c r="A338" s="5" t="s">
        <v>175</v>
      </c>
      <c r="B338" s="34" t="s">
        <v>176</v>
      </c>
      <c r="C338" s="401"/>
    </row>
    <row r="339" spans="1:3" ht="24.75" customHeight="1" hidden="1">
      <c r="A339" s="397" t="s">
        <v>74</v>
      </c>
      <c r="B339" s="398" t="s">
        <v>350</v>
      </c>
      <c r="C339" s="400">
        <f>SUM(C340:C342)</f>
        <v>16</v>
      </c>
    </row>
    <row r="340" spans="1:3" ht="24.75" customHeight="1" hidden="1">
      <c r="A340" s="5" t="s">
        <v>177</v>
      </c>
      <c r="B340" s="34" t="s">
        <v>168</v>
      </c>
      <c r="C340" s="401">
        <v>16</v>
      </c>
    </row>
    <row r="341" spans="1:3" ht="24.75" customHeight="1" hidden="1">
      <c r="A341" s="5" t="s">
        <v>178</v>
      </c>
      <c r="B341" s="34" t="s">
        <v>170</v>
      </c>
      <c r="C341" s="401"/>
    </row>
    <row r="342" spans="1:3" ht="24.75" customHeight="1" hidden="1">
      <c r="A342" s="5" t="s">
        <v>179</v>
      </c>
      <c r="B342" s="34" t="s">
        <v>180</v>
      </c>
      <c r="C342" s="401"/>
    </row>
    <row r="343" ht="15.75" hidden="1"/>
    <row r="344" ht="15.75" hidden="1"/>
    <row r="345" ht="15.75" hidden="1"/>
    <row r="346" ht="15.75" hidden="1"/>
    <row r="347" ht="15.75" hidden="1"/>
    <row r="348" ht="15.75" hidden="1"/>
    <row r="349" ht="15.75" customHeight="1" hidden="1"/>
    <row r="350" ht="15.75" hidden="1"/>
    <row r="351" ht="15.75" hidden="1"/>
    <row r="352" spans="1:3" ht="16.5" customHeight="1" hidden="1">
      <c r="A352" s="1474" t="s">
        <v>182</v>
      </c>
      <c r="B352" s="1475"/>
      <c r="C352" s="1475"/>
    </row>
    <row r="353" spans="1:3" ht="18.75" hidden="1">
      <c r="A353" s="1476" t="s">
        <v>70</v>
      </c>
      <c r="B353" s="1477"/>
      <c r="C353" s="387" t="s">
        <v>341</v>
      </c>
    </row>
    <row r="354" spans="1:3" ht="15.75" hidden="1">
      <c r="A354" s="1472" t="s">
        <v>6</v>
      </c>
      <c r="B354" s="1473"/>
      <c r="C354" s="399">
        <v>1</v>
      </c>
    </row>
    <row r="355" spans="1:3" ht="24.75" customHeight="1" hidden="1">
      <c r="A355" s="397" t="s">
        <v>52</v>
      </c>
      <c r="B355" s="398" t="s">
        <v>349</v>
      </c>
      <c r="C355" s="400">
        <f>SUM(C356:C361)</f>
        <v>2</v>
      </c>
    </row>
    <row r="356" spans="1:3" ht="24.75" customHeight="1" hidden="1">
      <c r="A356" s="5" t="s">
        <v>54</v>
      </c>
      <c r="B356" s="34" t="s">
        <v>153</v>
      </c>
      <c r="C356" s="401">
        <v>2</v>
      </c>
    </row>
    <row r="357" spans="1:3" ht="24.75" customHeight="1" hidden="1">
      <c r="A357" s="5" t="s">
        <v>55</v>
      </c>
      <c r="B357" s="34" t="s">
        <v>154</v>
      </c>
      <c r="C357" s="401">
        <v>0</v>
      </c>
    </row>
    <row r="358" spans="1:3" ht="24.75" customHeight="1" hidden="1">
      <c r="A358" s="5" t="s">
        <v>141</v>
      </c>
      <c r="B358" s="34" t="s">
        <v>155</v>
      </c>
      <c r="C358" s="401">
        <v>0</v>
      </c>
    </row>
    <row r="359" spans="1:3" ht="24.75" customHeight="1" hidden="1">
      <c r="A359" s="5" t="s">
        <v>143</v>
      </c>
      <c r="B359" s="34" t="s">
        <v>156</v>
      </c>
      <c r="C359" s="401">
        <v>0</v>
      </c>
    </row>
    <row r="360" spans="1:3" ht="24.75" customHeight="1" hidden="1">
      <c r="A360" s="5" t="s">
        <v>145</v>
      </c>
      <c r="B360" s="34" t="s">
        <v>157</v>
      </c>
      <c r="C360" s="401">
        <v>0</v>
      </c>
    </row>
    <row r="361" spans="1:3" ht="24.75" customHeight="1" hidden="1">
      <c r="A361" s="5" t="s">
        <v>147</v>
      </c>
      <c r="B361" s="34" t="s">
        <v>158</v>
      </c>
      <c r="C361" s="401">
        <v>0</v>
      </c>
    </row>
    <row r="362" spans="1:3" ht="24.75" customHeight="1" hidden="1">
      <c r="A362" s="397" t="s">
        <v>53</v>
      </c>
      <c r="B362" s="398" t="s">
        <v>347</v>
      </c>
      <c r="C362" s="400">
        <f>SUM(C363:C364)</f>
        <v>0</v>
      </c>
    </row>
    <row r="363" spans="1:3" ht="24.75" customHeight="1" hidden="1">
      <c r="A363" s="5" t="s">
        <v>56</v>
      </c>
      <c r="B363" s="34" t="s">
        <v>159</v>
      </c>
      <c r="C363" s="401"/>
    </row>
    <row r="364" spans="1:3" ht="24.75" customHeight="1" hidden="1">
      <c r="A364" s="5" t="s">
        <v>57</v>
      </c>
      <c r="B364" s="34" t="s">
        <v>160</v>
      </c>
      <c r="C364" s="401"/>
    </row>
    <row r="365" spans="1:3" ht="24.75" customHeight="1" hidden="1">
      <c r="A365" s="397" t="s">
        <v>58</v>
      </c>
      <c r="B365" s="398" t="s">
        <v>150</v>
      </c>
      <c r="C365" s="400">
        <f>SUM(C366:C368)</f>
        <v>10</v>
      </c>
    </row>
    <row r="366" spans="1:3" ht="24.75" customHeight="1" hidden="1">
      <c r="A366" s="5" t="s">
        <v>161</v>
      </c>
      <c r="B366" s="37" t="s">
        <v>162</v>
      </c>
      <c r="C366" s="401">
        <v>0</v>
      </c>
    </row>
    <row r="367" spans="1:3" ht="24.75" customHeight="1" hidden="1">
      <c r="A367" s="5" t="s">
        <v>163</v>
      </c>
      <c r="B367" s="34" t="s">
        <v>164</v>
      </c>
      <c r="C367" s="401">
        <v>10</v>
      </c>
    </row>
    <row r="368" spans="1:3" ht="24.75" customHeight="1" hidden="1">
      <c r="A368" s="5" t="s">
        <v>165</v>
      </c>
      <c r="B368" s="34" t="s">
        <v>166</v>
      </c>
      <c r="C368" s="401">
        <v>0</v>
      </c>
    </row>
    <row r="369" spans="1:3" ht="24.75" customHeight="1" hidden="1">
      <c r="A369" s="397" t="s">
        <v>73</v>
      </c>
      <c r="B369" s="398" t="s">
        <v>348</v>
      </c>
      <c r="C369" s="400">
        <f>SUM(C370:C375)</f>
        <v>0</v>
      </c>
    </row>
    <row r="370" spans="1:3" ht="24.75" customHeight="1" hidden="1">
      <c r="A370" s="5" t="s">
        <v>167</v>
      </c>
      <c r="B370" s="34" t="s">
        <v>168</v>
      </c>
      <c r="C370" s="401"/>
    </row>
    <row r="371" spans="1:3" ht="24.75" customHeight="1" hidden="1">
      <c r="A371" s="5" t="s">
        <v>169</v>
      </c>
      <c r="B371" s="34" t="s">
        <v>170</v>
      </c>
      <c r="C371" s="401"/>
    </row>
    <row r="372" spans="1:3" ht="24.75" customHeight="1" hidden="1">
      <c r="A372" s="5" t="s">
        <v>171</v>
      </c>
      <c r="B372" s="34" t="s">
        <v>172</v>
      </c>
      <c r="C372" s="401"/>
    </row>
    <row r="373" spans="1:3" ht="24.75" customHeight="1" hidden="1">
      <c r="A373" s="5" t="s">
        <v>173</v>
      </c>
      <c r="B373" s="34" t="s">
        <v>156</v>
      </c>
      <c r="C373" s="401"/>
    </row>
    <row r="374" spans="1:3" ht="24.75" customHeight="1" hidden="1">
      <c r="A374" s="5" t="s">
        <v>174</v>
      </c>
      <c r="B374" s="34" t="s">
        <v>157</v>
      </c>
      <c r="C374" s="401"/>
    </row>
    <row r="375" spans="1:3" ht="24.75" customHeight="1" hidden="1">
      <c r="A375" s="5" t="s">
        <v>175</v>
      </c>
      <c r="B375" s="34" t="s">
        <v>176</v>
      </c>
      <c r="C375" s="401"/>
    </row>
    <row r="376" spans="1:3" ht="24.75" customHeight="1" hidden="1">
      <c r="A376" s="397" t="s">
        <v>74</v>
      </c>
      <c r="B376" s="398" t="s">
        <v>350</v>
      </c>
      <c r="C376" s="400">
        <f>SUM(C377:C379)</f>
        <v>30</v>
      </c>
    </row>
    <row r="377" spans="1:3" ht="24.75" customHeight="1" hidden="1">
      <c r="A377" s="5" t="s">
        <v>177</v>
      </c>
      <c r="B377" s="34" t="s">
        <v>168</v>
      </c>
      <c r="C377" s="401">
        <v>30</v>
      </c>
    </row>
    <row r="378" spans="1:3" ht="24.75" customHeight="1" hidden="1">
      <c r="A378" s="5" t="s">
        <v>178</v>
      </c>
      <c r="B378" s="34" t="s">
        <v>170</v>
      </c>
      <c r="C378" s="401">
        <v>0</v>
      </c>
    </row>
    <row r="379" spans="1:3" ht="24.75" customHeight="1" hidden="1">
      <c r="A379" s="5" t="s">
        <v>179</v>
      </c>
      <c r="B379" s="34" t="s">
        <v>180</v>
      </c>
      <c r="C379" s="401">
        <v>0</v>
      </c>
    </row>
    <row r="380" ht="15.75" hidden="1"/>
    <row r="381" ht="15.75" hidden="1"/>
    <row r="382" ht="15.75" hidden="1"/>
    <row r="383" ht="15.75" hidden="1"/>
    <row r="384" ht="15.75" hidden="1"/>
    <row r="385" ht="15.75" hidden="1"/>
    <row r="386" ht="15.75" hidden="1"/>
    <row r="387" ht="15.75" hidden="1"/>
    <row r="388" ht="15.75" hidden="1"/>
    <row r="389" ht="15.75" hidden="1"/>
    <row r="390" ht="15.75" hidden="1"/>
    <row r="391" ht="15.75" customHeight="1" hidden="1"/>
    <row r="392" ht="15.75" hidden="1"/>
    <row r="393" ht="15.75" hidden="1"/>
    <row r="394" spans="1:3" ht="16.5" customHeight="1" hidden="1">
      <c r="A394" s="1474" t="s">
        <v>182</v>
      </c>
      <c r="B394" s="1475"/>
      <c r="C394" s="1475"/>
    </row>
    <row r="395" spans="1:3" ht="18.75" hidden="1">
      <c r="A395" s="1476" t="s">
        <v>70</v>
      </c>
      <c r="B395" s="1477"/>
      <c r="C395" s="387" t="s">
        <v>341</v>
      </c>
    </row>
    <row r="396" spans="1:3" ht="15.75" hidden="1">
      <c r="A396" s="1472" t="s">
        <v>6</v>
      </c>
      <c r="B396" s="1473"/>
      <c r="C396" s="399">
        <v>1</v>
      </c>
    </row>
    <row r="397" spans="1:3" ht="24.75" customHeight="1" hidden="1">
      <c r="A397" s="397" t="s">
        <v>52</v>
      </c>
      <c r="B397" s="398" t="s">
        <v>349</v>
      </c>
      <c r="C397" s="400">
        <f>SUM(C398:C403)</f>
        <v>0</v>
      </c>
    </row>
    <row r="398" spans="1:3" ht="24.75" customHeight="1" hidden="1">
      <c r="A398" s="5" t="s">
        <v>54</v>
      </c>
      <c r="B398" s="34" t="s">
        <v>153</v>
      </c>
      <c r="C398" s="401"/>
    </row>
    <row r="399" spans="1:3" ht="24.75" customHeight="1" hidden="1">
      <c r="A399" s="5" t="s">
        <v>55</v>
      </c>
      <c r="B399" s="34" t="s">
        <v>154</v>
      </c>
      <c r="C399" s="401"/>
    </row>
    <row r="400" spans="1:3" ht="24.75" customHeight="1" hidden="1">
      <c r="A400" s="5" t="s">
        <v>141</v>
      </c>
      <c r="B400" s="34" t="s">
        <v>155</v>
      </c>
      <c r="C400" s="401"/>
    </row>
    <row r="401" spans="1:3" ht="24.75" customHeight="1" hidden="1">
      <c r="A401" s="5" t="s">
        <v>143</v>
      </c>
      <c r="B401" s="34" t="s">
        <v>156</v>
      </c>
      <c r="C401" s="401"/>
    </row>
    <row r="402" spans="1:3" ht="24.75" customHeight="1" hidden="1">
      <c r="A402" s="5" t="s">
        <v>145</v>
      </c>
      <c r="B402" s="34" t="s">
        <v>157</v>
      </c>
      <c r="C402" s="401"/>
    </row>
    <row r="403" spans="1:3" ht="24.75" customHeight="1" hidden="1">
      <c r="A403" s="5" t="s">
        <v>147</v>
      </c>
      <c r="B403" s="34" t="s">
        <v>158</v>
      </c>
      <c r="C403" s="401"/>
    </row>
    <row r="404" spans="1:3" ht="24.75" customHeight="1" hidden="1">
      <c r="A404" s="397" t="s">
        <v>53</v>
      </c>
      <c r="B404" s="398" t="s">
        <v>347</v>
      </c>
      <c r="C404" s="400">
        <f>SUM(C405:C406)</f>
        <v>0</v>
      </c>
    </row>
    <row r="405" spans="1:3" ht="24.75" customHeight="1" hidden="1">
      <c r="A405" s="5" t="s">
        <v>56</v>
      </c>
      <c r="B405" s="34" t="s">
        <v>159</v>
      </c>
      <c r="C405" s="401"/>
    </row>
    <row r="406" spans="1:3" ht="24.75" customHeight="1" hidden="1">
      <c r="A406" s="5" t="s">
        <v>57</v>
      </c>
      <c r="B406" s="34" t="s">
        <v>160</v>
      </c>
      <c r="C406" s="401"/>
    </row>
    <row r="407" spans="1:3" ht="24.75" customHeight="1" hidden="1">
      <c r="A407" s="397" t="s">
        <v>58</v>
      </c>
      <c r="B407" s="398" t="s">
        <v>150</v>
      </c>
      <c r="C407" s="400">
        <f>SUM(C408:C410)</f>
        <v>0</v>
      </c>
    </row>
    <row r="408" spans="1:3" ht="24.75" customHeight="1" hidden="1">
      <c r="A408" s="5" t="s">
        <v>161</v>
      </c>
      <c r="B408" s="37" t="s">
        <v>162</v>
      </c>
      <c r="C408" s="401"/>
    </row>
    <row r="409" spans="1:3" ht="24.75" customHeight="1" hidden="1">
      <c r="A409" s="5" t="s">
        <v>163</v>
      </c>
      <c r="B409" s="34" t="s">
        <v>164</v>
      </c>
      <c r="C409" s="401"/>
    </row>
    <row r="410" spans="1:3" ht="24.75" customHeight="1" hidden="1">
      <c r="A410" s="5" t="s">
        <v>165</v>
      </c>
      <c r="B410" s="34" t="s">
        <v>166</v>
      </c>
      <c r="C410" s="401"/>
    </row>
    <row r="411" spans="1:3" ht="24.75" customHeight="1" hidden="1">
      <c r="A411" s="397" t="s">
        <v>73</v>
      </c>
      <c r="B411" s="398" t="s">
        <v>348</v>
      </c>
      <c r="C411" s="400">
        <f>SUM(C412:C417)</f>
        <v>0</v>
      </c>
    </row>
    <row r="412" spans="1:3" ht="24.75" customHeight="1" hidden="1">
      <c r="A412" s="5" t="s">
        <v>167</v>
      </c>
      <c r="B412" s="34" t="s">
        <v>168</v>
      </c>
      <c r="C412" s="401"/>
    </row>
    <row r="413" spans="1:3" ht="24.75" customHeight="1" hidden="1">
      <c r="A413" s="5" t="s">
        <v>169</v>
      </c>
      <c r="B413" s="34" t="s">
        <v>170</v>
      </c>
      <c r="C413" s="401"/>
    </row>
    <row r="414" spans="1:3" ht="24.75" customHeight="1" hidden="1">
      <c r="A414" s="5" t="s">
        <v>171</v>
      </c>
      <c r="B414" s="34" t="s">
        <v>172</v>
      </c>
      <c r="C414" s="401"/>
    </row>
    <row r="415" spans="1:3" ht="24.75" customHeight="1" hidden="1">
      <c r="A415" s="5" t="s">
        <v>173</v>
      </c>
      <c r="B415" s="34" t="s">
        <v>156</v>
      </c>
      <c r="C415" s="401"/>
    </row>
    <row r="416" spans="1:3" ht="24.75" customHeight="1" hidden="1">
      <c r="A416" s="5" t="s">
        <v>174</v>
      </c>
      <c r="B416" s="34" t="s">
        <v>157</v>
      </c>
      <c r="C416" s="401"/>
    </row>
    <row r="417" spans="1:3" ht="24.75" customHeight="1" hidden="1">
      <c r="A417" s="5" t="s">
        <v>175</v>
      </c>
      <c r="B417" s="34" t="s">
        <v>176</v>
      </c>
      <c r="C417" s="401"/>
    </row>
    <row r="418" spans="1:3" ht="24.75" customHeight="1" hidden="1">
      <c r="A418" s="397" t="s">
        <v>74</v>
      </c>
      <c r="B418" s="398" t="s">
        <v>350</v>
      </c>
      <c r="C418" s="400">
        <f>SUM(C419:C421)</f>
        <v>31</v>
      </c>
    </row>
    <row r="419" spans="1:3" ht="24.75" customHeight="1" hidden="1">
      <c r="A419" s="5" t="s">
        <v>177</v>
      </c>
      <c r="B419" s="34" t="s">
        <v>168</v>
      </c>
      <c r="C419" s="401">
        <v>31</v>
      </c>
    </row>
    <row r="420" spans="1:3" ht="24.75" customHeight="1" hidden="1">
      <c r="A420" s="5" t="s">
        <v>178</v>
      </c>
      <c r="B420" s="34" t="s">
        <v>170</v>
      </c>
      <c r="C420" s="401">
        <v>0</v>
      </c>
    </row>
    <row r="421" spans="1:3" ht="24.75" customHeight="1" hidden="1">
      <c r="A421" s="5" t="s">
        <v>179</v>
      </c>
      <c r="B421" s="34" t="s">
        <v>180</v>
      </c>
      <c r="C421" s="401">
        <v>0</v>
      </c>
    </row>
    <row r="422" ht="15.75" hidden="1"/>
    <row r="423" ht="15.75" hidden="1"/>
    <row r="424" ht="15.75" hidden="1"/>
    <row r="425" ht="15.75" hidden="1"/>
    <row r="426" ht="15.75" hidden="1"/>
    <row r="427" ht="15.75" customHeight="1" hidden="1"/>
    <row r="428" ht="15.75" hidden="1"/>
    <row r="429" ht="15.75" hidden="1"/>
    <row r="430" spans="1:3" ht="16.5" customHeight="1" hidden="1">
      <c r="A430" s="1474" t="s">
        <v>182</v>
      </c>
      <c r="B430" s="1475"/>
      <c r="C430" s="1475"/>
    </row>
    <row r="431" spans="1:3" ht="18.75" hidden="1">
      <c r="A431" s="1476" t="s">
        <v>70</v>
      </c>
      <c r="B431" s="1477"/>
      <c r="C431" s="387" t="s">
        <v>341</v>
      </c>
    </row>
    <row r="432" spans="1:3" ht="15.75" hidden="1">
      <c r="A432" s="1472" t="s">
        <v>6</v>
      </c>
      <c r="B432" s="1473"/>
      <c r="C432" s="399">
        <v>1</v>
      </c>
    </row>
    <row r="433" spans="1:3" ht="24.75" customHeight="1" hidden="1">
      <c r="A433" s="397" t="s">
        <v>52</v>
      </c>
      <c r="B433" s="398" t="s">
        <v>349</v>
      </c>
      <c r="C433" s="400">
        <f>SUM(C434:C439)</f>
        <v>0</v>
      </c>
    </row>
    <row r="434" spans="1:3" ht="24.75" customHeight="1" hidden="1">
      <c r="A434" s="5" t="s">
        <v>54</v>
      </c>
      <c r="B434" s="34" t="s">
        <v>153</v>
      </c>
      <c r="C434" s="401"/>
    </row>
    <row r="435" spans="1:3" ht="24.75" customHeight="1" hidden="1">
      <c r="A435" s="5" t="s">
        <v>55</v>
      </c>
      <c r="B435" s="34" t="s">
        <v>154</v>
      </c>
      <c r="C435" s="401"/>
    </row>
    <row r="436" spans="1:3" ht="24.75" customHeight="1" hidden="1">
      <c r="A436" s="5" t="s">
        <v>141</v>
      </c>
      <c r="B436" s="34" t="s">
        <v>155</v>
      </c>
      <c r="C436" s="401"/>
    </row>
    <row r="437" spans="1:3" ht="24.75" customHeight="1" hidden="1">
      <c r="A437" s="5" t="s">
        <v>143</v>
      </c>
      <c r="B437" s="34" t="s">
        <v>156</v>
      </c>
      <c r="C437" s="401"/>
    </row>
    <row r="438" spans="1:3" ht="24.75" customHeight="1" hidden="1">
      <c r="A438" s="5" t="s">
        <v>145</v>
      </c>
      <c r="B438" s="34" t="s">
        <v>157</v>
      </c>
      <c r="C438" s="401"/>
    </row>
    <row r="439" spans="1:3" ht="24.75" customHeight="1" hidden="1">
      <c r="A439" s="5" t="s">
        <v>147</v>
      </c>
      <c r="B439" s="34" t="s">
        <v>158</v>
      </c>
      <c r="C439" s="401"/>
    </row>
    <row r="440" spans="1:3" ht="24.75" customHeight="1" hidden="1">
      <c r="A440" s="397" t="s">
        <v>53</v>
      </c>
      <c r="B440" s="398" t="s">
        <v>347</v>
      </c>
      <c r="C440" s="400">
        <f>SUM(C441:C442)</f>
        <v>0</v>
      </c>
    </row>
    <row r="441" spans="1:3" ht="24.75" customHeight="1" hidden="1">
      <c r="A441" s="5" t="s">
        <v>56</v>
      </c>
      <c r="B441" s="34" t="s">
        <v>159</v>
      </c>
      <c r="C441" s="401"/>
    </row>
    <row r="442" spans="1:3" ht="24.75" customHeight="1" hidden="1">
      <c r="A442" s="5" t="s">
        <v>57</v>
      </c>
      <c r="B442" s="34" t="s">
        <v>160</v>
      </c>
      <c r="C442" s="401"/>
    </row>
    <row r="443" spans="1:3" ht="24.75" customHeight="1" hidden="1">
      <c r="A443" s="397" t="s">
        <v>58</v>
      </c>
      <c r="B443" s="398" t="s">
        <v>150</v>
      </c>
      <c r="C443" s="400">
        <f>SUM(C444:C446)</f>
        <v>0</v>
      </c>
    </row>
    <row r="444" spans="1:3" ht="24.75" customHeight="1" hidden="1">
      <c r="A444" s="5" t="s">
        <v>161</v>
      </c>
      <c r="B444" s="37" t="s">
        <v>162</v>
      </c>
      <c r="C444" s="401"/>
    </row>
    <row r="445" spans="1:3" ht="24.75" customHeight="1" hidden="1">
      <c r="A445" s="5" t="s">
        <v>163</v>
      </c>
      <c r="B445" s="34" t="s">
        <v>164</v>
      </c>
      <c r="C445" s="401"/>
    </row>
    <row r="446" spans="1:3" ht="24.75" customHeight="1" hidden="1">
      <c r="A446" s="5" t="s">
        <v>165</v>
      </c>
      <c r="B446" s="34" t="s">
        <v>166</v>
      </c>
      <c r="C446" s="401"/>
    </row>
    <row r="447" spans="1:3" ht="24.75" customHeight="1" hidden="1">
      <c r="A447" s="397" t="s">
        <v>73</v>
      </c>
      <c r="B447" s="398" t="s">
        <v>348</v>
      </c>
      <c r="C447" s="400">
        <f>SUM(C448:C453)</f>
        <v>0</v>
      </c>
    </row>
    <row r="448" spans="1:3" ht="24.75" customHeight="1" hidden="1">
      <c r="A448" s="5" t="s">
        <v>167</v>
      </c>
      <c r="B448" s="34" t="s">
        <v>168</v>
      </c>
      <c r="C448" s="401"/>
    </row>
    <row r="449" spans="1:3" ht="24.75" customHeight="1" hidden="1">
      <c r="A449" s="5" t="s">
        <v>169</v>
      </c>
      <c r="B449" s="34" t="s">
        <v>170</v>
      </c>
      <c r="C449" s="401"/>
    </row>
    <row r="450" spans="1:3" ht="24.75" customHeight="1" hidden="1">
      <c r="A450" s="5" t="s">
        <v>171</v>
      </c>
      <c r="B450" s="34" t="s">
        <v>172</v>
      </c>
      <c r="C450" s="401"/>
    </row>
    <row r="451" spans="1:3" ht="24.75" customHeight="1" hidden="1">
      <c r="A451" s="5" t="s">
        <v>173</v>
      </c>
      <c r="B451" s="34" t="s">
        <v>156</v>
      </c>
      <c r="C451" s="401"/>
    </row>
    <row r="452" spans="1:3" ht="24.75" customHeight="1" hidden="1">
      <c r="A452" s="5" t="s">
        <v>174</v>
      </c>
      <c r="B452" s="34" t="s">
        <v>157</v>
      </c>
      <c r="C452" s="401"/>
    </row>
    <row r="453" spans="1:3" ht="24.75" customHeight="1" hidden="1">
      <c r="A453" s="5" t="s">
        <v>175</v>
      </c>
      <c r="B453" s="34" t="s">
        <v>176</v>
      </c>
      <c r="C453" s="401"/>
    </row>
    <row r="454" spans="1:3" ht="24.75" customHeight="1" hidden="1">
      <c r="A454" s="397" t="s">
        <v>74</v>
      </c>
      <c r="B454" s="398" t="s">
        <v>350</v>
      </c>
      <c r="C454" s="400">
        <f>SUM(C455:C457)</f>
        <v>13</v>
      </c>
    </row>
    <row r="455" spans="1:3" ht="24.75" customHeight="1" hidden="1">
      <c r="A455" s="5" t="s">
        <v>177</v>
      </c>
      <c r="B455" s="34" t="s">
        <v>168</v>
      </c>
      <c r="C455" s="401">
        <v>13</v>
      </c>
    </row>
    <row r="456" spans="1:3" ht="24.75" customHeight="1" hidden="1">
      <c r="A456" s="5" t="s">
        <v>178</v>
      </c>
      <c r="B456" s="34" t="s">
        <v>170</v>
      </c>
      <c r="C456" s="401"/>
    </row>
    <row r="457" spans="1:3" ht="15.75" hidden="1">
      <c r="A457" s="5" t="s">
        <v>179</v>
      </c>
      <c r="B457" s="34" t="s">
        <v>180</v>
      </c>
      <c r="C457" s="401"/>
    </row>
    <row r="458" ht="15.75" hidden="1"/>
    <row r="459" ht="15.75" hidden="1"/>
    <row r="460" ht="15.75" hidden="1"/>
    <row r="461" ht="15.75" hidden="1"/>
    <row r="462" ht="15.75" hidden="1"/>
    <row r="463" ht="15.75" hidden="1"/>
    <row r="464" ht="15.75" hidden="1"/>
    <row r="465" ht="15.75" hidden="1"/>
    <row r="466" ht="15.75" hidden="1"/>
    <row r="467" ht="15.75" customHeight="1" hidden="1"/>
    <row r="468" ht="15.75" hidden="1"/>
    <row r="469" ht="15.75" hidden="1"/>
    <row r="470" spans="1:3" ht="16.5" customHeight="1" hidden="1">
      <c r="A470" s="1474" t="s">
        <v>182</v>
      </c>
      <c r="B470" s="1475"/>
      <c r="C470" s="1475"/>
    </row>
    <row r="471" spans="1:3" ht="18.75" hidden="1">
      <c r="A471" s="1476" t="s">
        <v>70</v>
      </c>
      <c r="B471" s="1477"/>
      <c r="C471" s="387" t="s">
        <v>341</v>
      </c>
    </row>
    <row r="472" spans="1:3" ht="15.75" hidden="1">
      <c r="A472" s="1472" t="s">
        <v>6</v>
      </c>
      <c r="B472" s="1473"/>
      <c r="C472" s="399">
        <v>1</v>
      </c>
    </row>
    <row r="473" spans="1:3" ht="24.75" customHeight="1" hidden="1">
      <c r="A473" s="397" t="s">
        <v>52</v>
      </c>
      <c r="B473" s="398" t="s">
        <v>349</v>
      </c>
      <c r="C473" s="400">
        <f>SUM(C474:C479)</f>
        <v>0</v>
      </c>
    </row>
    <row r="474" spans="1:3" ht="24.75" customHeight="1" hidden="1">
      <c r="A474" s="5" t="s">
        <v>54</v>
      </c>
      <c r="B474" s="34" t="s">
        <v>153</v>
      </c>
      <c r="C474" s="401"/>
    </row>
    <row r="475" spans="1:3" ht="24.75" customHeight="1" hidden="1">
      <c r="A475" s="5" t="s">
        <v>55</v>
      </c>
      <c r="B475" s="34" t="s">
        <v>154</v>
      </c>
      <c r="C475" s="401"/>
    </row>
    <row r="476" spans="1:3" ht="24.75" customHeight="1" hidden="1">
      <c r="A476" s="5" t="s">
        <v>141</v>
      </c>
      <c r="B476" s="34" t="s">
        <v>155</v>
      </c>
      <c r="C476" s="401"/>
    </row>
    <row r="477" spans="1:3" ht="24.75" customHeight="1" hidden="1">
      <c r="A477" s="5" t="s">
        <v>143</v>
      </c>
      <c r="B477" s="34" t="s">
        <v>156</v>
      </c>
      <c r="C477" s="401"/>
    </row>
    <row r="478" spans="1:3" ht="24.75" customHeight="1" hidden="1">
      <c r="A478" s="5" t="s">
        <v>145</v>
      </c>
      <c r="B478" s="34" t="s">
        <v>157</v>
      </c>
      <c r="C478" s="401"/>
    </row>
    <row r="479" spans="1:3" ht="24.75" customHeight="1" hidden="1">
      <c r="A479" s="5" t="s">
        <v>147</v>
      </c>
      <c r="B479" s="34" t="s">
        <v>158</v>
      </c>
      <c r="C479" s="401"/>
    </row>
    <row r="480" spans="1:3" ht="24.75" customHeight="1" hidden="1">
      <c r="A480" s="397" t="s">
        <v>53</v>
      </c>
      <c r="B480" s="398" t="s">
        <v>347</v>
      </c>
      <c r="C480" s="400">
        <f>SUM(C481:C482)</f>
        <v>1</v>
      </c>
    </row>
    <row r="481" spans="1:3" ht="24.75" customHeight="1" hidden="1">
      <c r="A481" s="5" t="s">
        <v>56</v>
      </c>
      <c r="B481" s="34" t="s">
        <v>159</v>
      </c>
      <c r="C481" s="401">
        <v>1</v>
      </c>
    </row>
    <row r="482" spans="1:3" ht="24.75" customHeight="1" hidden="1">
      <c r="A482" s="5" t="s">
        <v>57</v>
      </c>
      <c r="B482" s="34" t="s">
        <v>160</v>
      </c>
      <c r="C482" s="401">
        <v>0</v>
      </c>
    </row>
    <row r="483" spans="1:3" ht="24.75" customHeight="1" hidden="1">
      <c r="A483" s="397" t="s">
        <v>58</v>
      </c>
      <c r="B483" s="398" t="s">
        <v>150</v>
      </c>
      <c r="C483" s="400">
        <f>SUM(C484:C486)</f>
        <v>0</v>
      </c>
    </row>
    <row r="484" spans="1:3" ht="24.75" customHeight="1" hidden="1">
      <c r="A484" s="5" t="s">
        <v>161</v>
      </c>
      <c r="B484" s="37" t="s">
        <v>162</v>
      </c>
      <c r="C484" s="401"/>
    </row>
    <row r="485" spans="1:3" ht="24.75" customHeight="1" hidden="1">
      <c r="A485" s="5" t="s">
        <v>163</v>
      </c>
      <c r="B485" s="34" t="s">
        <v>164</v>
      </c>
      <c r="C485" s="401"/>
    </row>
    <row r="486" spans="1:3" ht="24.75" customHeight="1" hidden="1">
      <c r="A486" s="5" t="s">
        <v>165</v>
      </c>
      <c r="B486" s="34" t="s">
        <v>166</v>
      </c>
      <c r="C486" s="401"/>
    </row>
    <row r="487" spans="1:3" ht="24.75" customHeight="1" hidden="1">
      <c r="A487" s="397" t="s">
        <v>73</v>
      </c>
      <c r="B487" s="398" t="s">
        <v>348</v>
      </c>
      <c r="C487" s="400">
        <f>SUM(C488:C493)</f>
        <v>0</v>
      </c>
    </row>
    <row r="488" spans="1:3" ht="24.75" customHeight="1" hidden="1">
      <c r="A488" s="5" t="s">
        <v>167</v>
      </c>
      <c r="B488" s="34" t="s">
        <v>168</v>
      </c>
      <c r="C488" s="401"/>
    </row>
    <row r="489" spans="1:3" ht="24.75" customHeight="1" hidden="1">
      <c r="A489" s="5" t="s">
        <v>169</v>
      </c>
      <c r="B489" s="34" t="s">
        <v>170</v>
      </c>
      <c r="C489" s="401"/>
    </row>
    <row r="490" spans="1:3" ht="24.75" customHeight="1" hidden="1">
      <c r="A490" s="5" t="s">
        <v>171</v>
      </c>
      <c r="B490" s="34" t="s">
        <v>172</v>
      </c>
      <c r="C490" s="401"/>
    </row>
    <row r="491" spans="1:3" ht="24.75" customHeight="1" hidden="1">
      <c r="A491" s="5" t="s">
        <v>173</v>
      </c>
      <c r="B491" s="34" t="s">
        <v>156</v>
      </c>
      <c r="C491" s="401"/>
    </row>
    <row r="492" spans="1:3" ht="24.75" customHeight="1" hidden="1">
      <c r="A492" s="5" t="s">
        <v>174</v>
      </c>
      <c r="B492" s="34" t="s">
        <v>157</v>
      </c>
      <c r="C492" s="401"/>
    </row>
    <row r="493" spans="1:3" ht="24.75" customHeight="1" hidden="1">
      <c r="A493" s="5" t="s">
        <v>175</v>
      </c>
      <c r="B493" s="34" t="s">
        <v>176</v>
      </c>
      <c r="C493" s="401"/>
    </row>
    <row r="494" spans="1:3" ht="24.75" customHeight="1" hidden="1">
      <c r="A494" s="397" t="s">
        <v>74</v>
      </c>
      <c r="B494" s="398" t="s">
        <v>350</v>
      </c>
      <c r="C494" s="400">
        <f>SUM(C495:C497)</f>
        <v>11</v>
      </c>
    </row>
    <row r="495" spans="1:3" ht="24.75" customHeight="1" hidden="1">
      <c r="A495" s="5" t="s">
        <v>177</v>
      </c>
      <c r="B495" s="34" t="s">
        <v>168</v>
      </c>
      <c r="C495" s="401">
        <v>11</v>
      </c>
    </row>
    <row r="496" spans="1:3" ht="24.75" customHeight="1" hidden="1">
      <c r="A496" s="5" t="s">
        <v>178</v>
      </c>
      <c r="B496" s="34" t="s">
        <v>170</v>
      </c>
      <c r="C496" s="401">
        <v>0</v>
      </c>
    </row>
    <row r="497" spans="1:3" ht="24.75" customHeight="1" hidden="1">
      <c r="A497" s="5" t="s">
        <v>179</v>
      </c>
      <c r="B497" s="34" t="s">
        <v>180</v>
      </c>
      <c r="C497" s="401">
        <v>0</v>
      </c>
    </row>
    <row r="498" ht="15.75" hidden="1"/>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sheetData>
  <sheetProtection/>
  <mergeCells count="39">
    <mergeCell ref="A278:B278"/>
    <mergeCell ref="A317:B317"/>
    <mergeCell ref="A394:C394"/>
    <mergeCell ref="A352:C352"/>
    <mergeCell ref="A279:B279"/>
    <mergeCell ref="A471:B471"/>
    <mergeCell ref="A472:B472"/>
    <mergeCell ref="A431:B431"/>
    <mergeCell ref="A432:B432"/>
    <mergeCell ref="A470:C470"/>
    <mergeCell ref="A315:C315"/>
    <mergeCell ref="A430:C430"/>
    <mergeCell ref="A353:B353"/>
    <mergeCell ref="A161:B161"/>
    <mergeCell ref="A83:B83"/>
    <mergeCell ref="A354:B354"/>
    <mergeCell ref="A395:B395"/>
    <mergeCell ref="A396:B396"/>
    <mergeCell ref="A316:B316"/>
    <mergeCell ref="A238:B238"/>
    <mergeCell ref="A239:B239"/>
    <mergeCell ref="A122:B122"/>
    <mergeCell ref="A160:C160"/>
    <mergeCell ref="A1:C1"/>
    <mergeCell ref="A2:B2"/>
    <mergeCell ref="A121:B121"/>
    <mergeCell ref="A82:C82"/>
    <mergeCell ref="A44:C44"/>
    <mergeCell ref="A45:B45"/>
    <mergeCell ref="A46:B46"/>
    <mergeCell ref="A3:B3"/>
    <mergeCell ref="A120:C120"/>
    <mergeCell ref="A84:B84"/>
    <mergeCell ref="A162:B162"/>
    <mergeCell ref="A277:C277"/>
    <mergeCell ref="A237:C237"/>
    <mergeCell ref="A199:C199"/>
    <mergeCell ref="A200:B200"/>
    <mergeCell ref="A201:B201"/>
  </mergeCells>
  <printOptions/>
  <pageMargins left="0.27" right="0.25" top="0.46" bottom="0" header="0.56" footer="0.24"/>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sheetPr>
    <tabColor indexed="51"/>
  </sheetPr>
  <dimension ref="A1:O26"/>
  <sheetViews>
    <sheetView showZeros="0" view="pageBreakPreview" zoomScale="85" zoomScaleSheetLayoutView="85" zoomScalePageLayoutView="0" workbookViewId="0" topLeftCell="A19">
      <selection activeCell="E22" sqref="E22"/>
    </sheetView>
  </sheetViews>
  <sheetFormatPr defaultColWidth="9.00390625" defaultRowHeight="15.75"/>
  <cols>
    <col min="1" max="1" width="4.875" style="438" customWidth="1"/>
    <col min="2" max="2" width="22.625" style="388" customWidth="1"/>
    <col min="3" max="3" width="11.00390625" style="388" customWidth="1"/>
    <col min="4" max="4" width="9.125" style="388" customWidth="1"/>
    <col min="5" max="5" width="8.375" style="388" customWidth="1"/>
    <col min="6" max="14" width="7.375" style="388" customWidth="1"/>
    <col min="15" max="15" width="8.125" style="388" customWidth="1"/>
    <col min="16" max="16384" width="9.00390625" style="388" customWidth="1"/>
  </cols>
  <sheetData>
    <row r="1" spans="1:15" ht="21" customHeight="1">
      <c r="A1" s="1443" t="s">
        <v>30</v>
      </c>
      <c r="B1" s="1443"/>
      <c r="C1" s="416"/>
      <c r="D1" s="1444" t="s">
        <v>82</v>
      </c>
      <c r="E1" s="1444"/>
      <c r="F1" s="1444"/>
      <c r="G1" s="1444"/>
      <c r="H1" s="1444"/>
      <c r="I1" s="1444"/>
      <c r="J1" s="1444"/>
      <c r="K1" s="1444"/>
      <c r="L1" s="1445" t="s">
        <v>557</v>
      </c>
      <c r="M1" s="1445"/>
      <c r="N1" s="1445"/>
      <c r="O1" s="1445"/>
    </row>
    <row r="2" spans="1:15" ht="16.5" customHeight="1">
      <c r="A2" s="418" t="s">
        <v>344</v>
      </c>
      <c r="B2" s="418"/>
      <c r="C2" s="418"/>
      <c r="D2" s="1444" t="s">
        <v>183</v>
      </c>
      <c r="E2" s="1444"/>
      <c r="F2" s="1444"/>
      <c r="G2" s="1444"/>
      <c r="H2" s="1444"/>
      <c r="I2" s="1444"/>
      <c r="J2" s="1444"/>
      <c r="K2" s="1444"/>
      <c r="L2" s="1446" t="str">
        <f>'Thong tin'!B4</f>
        <v>CTHADS Hải Phòng</v>
      </c>
      <c r="M2" s="1446"/>
      <c r="N2" s="1446"/>
      <c r="O2" s="1446"/>
    </row>
    <row r="3" spans="1:15" ht="16.5" customHeight="1">
      <c r="A3" s="418" t="s">
        <v>345</v>
      </c>
      <c r="B3" s="418"/>
      <c r="C3" s="418"/>
      <c r="D3" s="1450" t="str">
        <f>'Thong tin'!B3</f>
        <v>10 tháng / năm 2017</v>
      </c>
      <c r="E3" s="1450"/>
      <c r="F3" s="1450"/>
      <c r="G3" s="1450"/>
      <c r="H3" s="1450"/>
      <c r="I3" s="1450"/>
      <c r="J3" s="1450"/>
      <c r="K3" s="1450"/>
      <c r="L3" s="1445" t="s">
        <v>523</v>
      </c>
      <c r="M3" s="1445"/>
      <c r="N3" s="1445"/>
      <c r="O3" s="1445"/>
    </row>
    <row r="4" spans="1:15" ht="16.5" customHeight="1">
      <c r="A4" s="436" t="s">
        <v>119</v>
      </c>
      <c r="B4" s="436"/>
      <c r="C4" s="421"/>
      <c r="D4" s="422"/>
      <c r="E4" s="422"/>
      <c r="F4" s="421"/>
      <c r="G4" s="423"/>
      <c r="H4" s="423"/>
      <c r="I4" s="423"/>
      <c r="J4" s="421"/>
      <c r="K4" s="422"/>
      <c r="L4" s="1446" t="s">
        <v>412</v>
      </c>
      <c r="M4" s="1446"/>
      <c r="N4" s="1446"/>
      <c r="O4" s="1446"/>
    </row>
    <row r="5" spans="1:15" ht="16.5" customHeight="1">
      <c r="A5" s="424"/>
      <c r="B5" s="421"/>
      <c r="C5" s="421"/>
      <c r="D5" s="421"/>
      <c r="E5" s="421"/>
      <c r="F5" s="425"/>
      <c r="G5" s="426"/>
      <c r="H5" s="426"/>
      <c r="I5" s="426"/>
      <c r="J5" s="425"/>
      <c r="K5" s="427"/>
      <c r="L5" s="440"/>
      <c r="M5" s="440" t="s">
        <v>8</v>
      </c>
      <c r="N5" s="417"/>
      <c r="O5" s="417"/>
    </row>
    <row r="6" spans="1:15" ht="18.75" customHeight="1">
      <c r="A6" s="1464" t="s">
        <v>69</v>
      </c>
      <c r="B6" s="1464"/>
      <c r="C6" s="1464" t="s">
        <v>38</v>
      </c>
      <c r="D6" s="1464" t="s">
        <v>337</v>
      </c>
      <c r="E6" s="1464"/>
      <c r="F6" s="1464"/>
      <c r="G6" s="1464"/>
      <c r="H6" s="1464"/>
      <c r="I6" s="1464"/>
      <c r="J6" s="1464"/>
      <c r="K6" s="1464"/>
      <c r="L6" s="1464"/>
      <c r="M6" s="1464"/>
      <c r="N6" s="1464"/>
      <c r="O6" s="1464"/>
    </row>
    <row r="7" spans="1:15" ht="20.25" customHeight="1">
      <c r="A7" s="1464"/>
      <c r="B7" s="1464"/>
      <c r="C7" s="1464"/>
      <c r="D7" s="1484" t="s">
        <v>120</v>
      </c>
      <c r="E7" s="1483" t="s">
        <v>121</v>
      </c>
      <c r="F7" s="1483"/>
      <c r="G7" s="1483"/>
      <c r="H7" s="1483" t="s">
        <v>122</v>
      </c>
      <c r="I7" s="1483" t="s">
        <v>123</v>
      </c>
      <c r="J7" s="1483" t="s">
        <v>124</v>
      </c>
      <c r="K7" s="1483" t="s">
        <v>125</v>
      </c>
      <c r="L7" s="1483" t="s">
        <v>126</v>
      </c>
      <c r="M7" s="1483" t="s">
        <v>127</v>
      </c>
      <c r="N7" s="1483" t="s">
        <v>184</v>
      </c>
      <c r="O7" s="1483" t="s">
        <v>128</v>
      </c>
    </row>
    <row r="8" spans="1:15" ht="19.5" customHeight="1">
      <c r="A8" s="1464"/>
      <c r="B8" s="1464"/>
      <c r="C8" s="1464"/>
      <c r="D8" s="1484"/>
      <c r="E8" s="1483" t="s">
        <v>37</v>
      </c>
      <c r="F8" s="1483" t="s">
        <v>7</v>
      </c>
      <c r="G8" s="1483"/>
      <c r="H8" s="1483"/>
      <c r="I8" s="1483"/>
      <c r="J8" s="1483"/>
      <c r="K8" s="1483"/>
      <c r="L8" s="1483"/>
      <c r="M8" s="1483"/>
      <c r="N8" s="1483"/>
      <c r="O8" s="1483"/>
    </row>
    <row r="9" spans="1:15" ht="39.75" customHeight="1">
      <c r="A9" s="1464"/>
      <c r="B9" s="1464"/>
      <c r="C9" s="1464"/>
      <c r="D9" s="1484"/>
      <c r="E9" s="1483"/>
      <c r="F9" s="549" t="s">
        <v>129</v>
      </c>
      <c r="G9" s="549" t="s">
        <v>130</v>
      </c>
      <c r="H9" s="1483"/>
      <c r="I9" s="1483"/>
      <c r="J9" s="1483"/>
      <c r="K9" s="1483"/>
      <c r="L9" s="1483"/>
      <c r="M9" s="1483"/>
      <c r="N9" s="1483"/>
      <c r="O9" s="1483"/>
    </row>
    <row r="10" spans="1:15" s="393" customFormat="1" ht="17.25" customHeight="1">
      <c r="A10" s="1482" t="s">
        <v>40</v>
      </c>
      <c r="B10" s="1482"/>
      <c r="C10" s="513">
        <v>1</v>
      </c>
      <c r="D10" s="513">
        <v>2</v>
      </c>
      <c r="E10" s="513">
        <v>3</v>
      </c>
      <c r="F10" s="513">
        <v>4</v>
      </c>
      <c r="G10" s="513">
        <v>5</v>
      </c>
      <c r="H10" s="513">
        <v>6</v>
      </c>
      <c r="I10" s="513">
        <v>7</v>
      </c>
      <c r="J10" s="513">
        <v>8</v>
      </c>
      <c r="K10" s="513">
        <v>9</v>
      </c>
      <c r="L10" s="513">
        <v>10</v>
      </c>
      <c r="M10" s="513">
        <v>11</v>
      </c>
      <c r="N10" s="513">
        <v>12</v>
      </c>
      <c r="O10" s="513">
        <v>13</v>
      </c>
    </row>
    <row r="11" spans="1:15" ht="22.5" customHeight="1">
      <c r="A11" s="505" t="s">
        <v>0</v>
      </c>
      <c r="B11" s="441" t="s">
        <v>131</v>
      </c>
      <c r="C11" s="1891">
        <v>1927</v>
      </c>
      <c r="D11" s="1891">
        <v>763</v>
      </c>
      <c r="E11" s="1891">
        <v>412</v>
      </c>
      <c r="F11" s="1891">
        <v>2</v>
      </c>
      <c r="G11" s="1891">
        <v>410</v>
      </c>
      <c r="H11" s="1891">
        <v>0</v>
      </c>
      <c r="I11" s="1891">
        <v>212</v>
      </c>
      <c r="J11" s="1891">
        <v>528</v>
      </c>
      <c r="K11" s="1891">
        <v>11</v>
      </c>
      <c r="L11" s="1891">
        <v>0</v>
      </c>
      <c r="M11" s="1891">
        <v>1</v>
      </c>
      <c r="N11" s="1891">
        <v>0</v>
      </c>
      <c r="O11" s="1894">
        <v>0</v>
      </c>
    </row>
    <row r="12" spans="1:15" s="403" customFormat="1" ht="22.5" customHeight="1">
      <c r="A12" s="504">
        <v>1</v>
      </c>
      <c r="B12" s="432" t="s">
        <v>132</v>
      </c>
      <c r="C12" s="1891">
        <v>1433</v>
      </c>
      <c r="D12" s="1887">
        <v>579</v>
      </c>
      <c r="E12" s="1887">
        <v>292</v>
      </c>
      <c r="F12" s="1887">
        <v>2</v>
      </c>
      <c r="G12" s="1887">
        <v>290</v>
      </c>
      <c r="H12" s="1887">
        <v>0</v>
      </c>
      <c r="I12" s="1887">
        <v>171</v>
      </c>
      <c r="J12" s="1887">
        <v>386</v>
      </c>
      <c r="K12" s="1887">
        <v>4</v>
      </c>
      <c r="L12" s="1887">
        <v>0</v>
      </c>
      <c r="M12" s="1887">
        <v>1</v>
      </c>
      <c r="N12" s="1887">
        <v>0</v>
      </c>
      <c r="O12" s="1887">
        <v>0</v>
      </c>
    </row>
    <row r="13" spans="1:15" s="403" customFormat="1" ht="22.5" customHeight="1">
      <c r="A13" s="504">
        <v>2</v>
      </c>
      <c r="B13" s="432" t="s">
        <v>133</v>
      </c>
      <c r="C13" s="1891">
        <v>494</v>
      </c>
      <c r="D13" s="1887">
        <v>184</v>
      </c>
      <c r="E13" s="1887">
        <v>120</v>
      </c>
      <c r="F13" s="1887">
        <v>0</v>
      </c>
      <c r="G13" s="1887">
        <v>120</v>
      </c>
      <c r="H13" s="1887">
        <v>0</v>
      </c>
      <c r="I13" s="1887">
        <v>41</v>
      </c>
      <c r="J13" s="1887">
        <v>142</v>
      </c>
      <c r="K13" s="1887">
        <v>7</v>
      </c>
      <c r="L13" s="1887">
        <v>0</v>
      </c>
      <c r="M13" s="1887">
        <v>0</v>
      </c>
      <c r="N13" s="1887">
        <v>0</v>
      </c>
      <c r="O13" s="1887">
        <v>0</v>
      </c>
    </row>
    <row r="14" spans="1:15" ht="22.5" customHeight="1">
      <c r="A14" s="505" t="s">
        <v>1</v>
      </c>
      <c r="B14" s="395" t="s">
        <v>134</v>
      </c>
      <c r="C14" s="1891">
        <v>37</v>
      </c>
      <c r="D14" s="1887">
        <v>10</v>
      </c>
      <c r="E14" s="1887">
        <v>9</v>
      </c>
      <c r="F14" s="1887">
        <v>0</v>
      </c>
      <c r="G14" s="1887">
        <v>9</v>
      </c>
      <c r="H14" s="1887">
        <v>0</v>
      </c>
      <c r="I14" s="1887">
        <v>2</v>
      </c>
      <c r="J14" s="1887">
        <v>15</v>
      </c>
      <c r="K14" s="1887">
        <v>1</v>
      </c>
      <c r="L14" s="1887">
        <v>0</v>
      </c>
      <c r="M14" s="1887">
        <v>0</v>
      </c>
      <c r="N14" s="1887">
        <v>0</v>
      </c>
      <c r="O14" s="1887">
        <v>0</v>
      </c>
    </row>
    <row r="15" spans="1:15" ht="22.5" customHeight="1">
      <c r="A15" s="505" t="s">
        <v>9</v>
      </c>
      <c r="B15" s="395" t="s">
        <v>135</v>
      </c>
      <c r="C15" s="1891">
        <v>12</v>
      </c>
      <c r="D15" s="1887">
        <v>1</v>
      </c>
      <c r="E15" s="1887">
        <v>0</v>
      </c>
      <c r="F15" s="1887">
        <v>0</v>
      </c>
      <c r="G15" s="1887">
        <v>0</v>
      </c>
      <c r="H15" s="1887">
        <v>0</v>
      </c>
      <c r="I15" s="1887">
        <v>0</v>
      </c>
      <c r="J15" s="1887">
        <v>10</v>
      </c>
      <c r="K15" s="1887">
        <v>1</v>
      </c>
      <c r="L15" s="1887">
        <v>0</v>
      </c>
      <c r="M15" s="1887">
        <v>0</v>
      </c>
      <c r="N15" s="1887">
        <v>0</v>
      </c>
      <c r="O15" s="1887">
        <v>0</v>
      </c>
    </row>
    <row r="16" spans="1:15" ht="22.5" customHeight="1">
      <c r="A16" s="505" t="s">
        <v>136</v>
      </c>
      <c r="B16" s="395" t="s">
        <v>137</v>
      </c>
      <c r="C16" s="1895">
        <v>1890</v>
      </c>
      <c r="D16" s="1895">
        <v>753</v>
      </c>
      <c r="E16" s="1895">
        <v>403</v>
      </c>
      <c r="F16" s="1895">
        <v>2</v>
      </c>
      <c r="G16" s="1895">
        <v>401</v>
      </c>
      <c r="H16" s="1895">
        <v>0</v>
      </c>
      <c r="I16" s="1895">
        <v>210</v>
      </c>
      <c r="J16" s="1895">
        <v>513</v>
      </c>
      <c r="K16" s="1895">
        <v>10</v>
      </c>
      <c r="L16" s="1895">
        <v>0</v>
      </c>
      <c r="M16" s="1895">
        <v>1</v>
      </c>
      <c r="N16" s="1895">
        <v>0</v>
      </c>
      <c r="O16" s="1896">
        <v>0</v>
      </c>
    </row>
    <row r="17" spans="1:15" ht="22.5" customHeight="1">
      <c r="A17" s="505" t="s">
        <v>52</v>
      </c>
      <c r="B17" s="395" t="s">
        <v>138</v>
      </c>
      <c r="C17" s="1891">
        <v>1483</v>
      </c>
      <c r="D17" s="1891">
        <v>609</v>
      </c>
      <c r="E17" s="1891">
        <v>256</v>
      </c>
      <c r="F17" s="1891">
        <v>2</v>
      </c>
      <c r="G17" s="1891">
        <v>254</v>
      </c>
      <c r="H17" s="1891">
        <v>0</v>
      </c>
      <c r="I17" s="1891">
        <v>174</v>
      </c>
      <c r="J17" s="1891">
        <v>433</v>
      </c>
      <c r="K17" s="1891">
        <v>10</v>
      </c>
      <c r="L17" s="1891">
        <v>0</v>
      </c>
      <c r="M17" s="1891">
        <v>1</v>
      </c>
      <c r="N17" s="1891">
        <v>0</v>
      </c>
      <c r="O17" s="1894">
        <v>0</v>
      </c>
    </row>
    <row r="18" spans="1:15" ht="19.5" customHeight="1">
      <c r="A18" s="504" t="s">
        <v>54</v>
      </c>
      <c r="B18" s="432" t="s">
        <v>139</v>
      </c>
      <c r="C18" s="1891">
        <v>221</v>
      </c>
      <c r="D18" s="1889">
        <v>72</v>
      </c>
      <c r="E18" s="1887">
        <v>86</v>
      </c>
      <c r="F18" s="1889">
        <v>0</v>
      </c>
      <c r="G18" s="1889">
        <v>86</v>
      </c>
      <c r="H18" s="1889">
        <v>0</v>
      </c>
      <c r="I18" s="1889">
        <v>23</v>
      </c>
      <c r="J18" s="1889">
        <v>39</v>
      </c>
      <c r="K18" s="1889">
        <v>1</v>
      </c>
      <c r="L18" s="1889">
        <v>0</v>
      </c>
      <c r="M18" s="1889">
        <v>0</v>
      </c>
      <c r="N18" s="1889">
        <v>0</v>
      </c>
      <c r="O18" s="1889">
        <v>0</v>
      </c>
    </row>
    <row r="19" spans="1:15" ht="19.5" customHeight="1">
      <c r="A19" s="504" t="s">
        <v>55</v>
      </c>
      <c r="B19" s="432" t="s">
        <v>140</v>
      </c>
      <c r="C19" s="1891">
        <v>67</v>
      </c>
      <c r="D19" s="1889">
        <v>29</v>
      </c>
      <c r="E19" s="1887">
        <v>8</v>
      </c>
      <c r="F19" s="1889">
        <v>0</v>
      </c>
      <c r="G19" s="1889">
        <v>8</v>
      </c>
      <c r="H19" s="1889">
        <v>0</v>
      </c>
      <c r="I19" s="1889">
        <v>17</v>
      </c>
      <c r="J19" s="1889">
        <v>13</v>
      </c>
      <c r="K19" s="1889">
        <v>0</v>
      </c>
      <c r="L19" s="1889">
        <v>0</v>
      </c>
      <c r="M19" s="1889">
        <v>0</v>
      </c>
      <c r="N19" s="1889">
        <v>0</v>
      </c>
      <c r="O19" s="1889">
        <v>0</v>
      </c>
    </row>
    <row r="20" spans="1:15" ht="19.5" customHeight="1">
      <c r="A20" s="504" t="s">
        <v>141</v>
      </c>
      <c r="B20" s="432" t="s">
        <v>142</v>
      </c>
      <c r="C20" s="1891">
        <v>1176</v>
      </c>
      <c r="D20" s="1889">
        <v>497</v>
      </c>
      <c r="E20" s="1887">
        <v>160</v>
      </c>
      <c r="F20" s="1889">
        <v>2</v>
      </c>
      <c r="G20" s="1889">
        <v>158</v>
      </c>
      <c r="H20" s="1889">
        <v>0</v>
      </c>
      <c r="I20" s="1889">
        <v>133</v>
      </c>
      <c r="J20" s="1889">
        <v>376</v>
      </c>
      <c r="K20" s="1889">
        <v>9</v>
      </c>
      <c r="L20" s="1889">
        <v>0</v>
      </c>
      <c r="M20" s="1889">
        <v>1</v>
      </c>
      <c r="N20" s="1889">
        <v>0</v>
      </c>
      <c r="O20" s="1889">
        <v>0</v>
      </c>
    </row>
    <row r="21" spans="1:15" ht="19.5" customHeight="1">
      <c r="A21" s="504" t="s">
        <v>143</v>
      </c>
      <c r="B21" s="432" t="s">
        <v>144</v>
      </c>
      <c r="C21" s="1891">
        <v>7</v>
      </c>
      <c r="D21" s="1889">
        <v>4</v>
      </c>
      <c r="E21" s="1887">
        <v>1</v>
      </c>
      <c r="F21" s="1889">
        <v>0</v>
      </c>
      <c r="G21" s="1889">
        <v>1</v>
      </c>
      <c r="H21" s="1889">
        <v>0</v>
      </c>
      <c r="I21" s="1889">
        <v>1</v>
      </c>
      <c r="J21" s="1889">
        <v>1</v>
      </c>
      <c r="K21" s="1889">
        <v>0</v>
      </c>
      <c r="L21" s="1889">
        <v>0</v>
      </c>
      <c r="M21" s="1889">
        <v>0</v>
      </c>
      <c r="N21" s="1889">
        <v>0</v>
      </c>
      <c r="O21" s="1889">
        <v>0</v>
      </c>
    </row>
    <row r="22" spans="1:15" ht="19.5" customHeight="1">
      <c r="A22" s="504" t="s">
        <v>145</v>
      </c>
      <c r="B22" s="432" t="s">
        <v>146</v>
      </c>
      <c r="C22" s="1891">
        <v>3</v>
      </c>
      <c r="D22" s="1889">
        <v>1</v>
      </c>
      <c r="E22" s="1887">
        <v>0</v>
      </c>
      <c r="F22" s="1889">
        <v>0</v>
      </c>
      <c r="G22" s="1889">
        <v>0</v>
      </c>
      <c r="H22" s="1889">
        <v>0</v>
      </c>
      <c r="I22" s="1889">
        <v>0</v>
      </c>
      <c r="J22" s="1889">
        <v>2</v>
      </c>
      <c r="K22" s="1889">
        <v>0</v>
      </c>
      <c r="L22" s="1889">
        <v>0</v>
      </c>
      <c r="M22" s="1889">
        <v>0</v>
      </c>
      <c r="N22" s="1889">
        <v>0</v>
      </c>
      <c r="O22" s="1889">
        <v>0</v>
      </c>
    </row>
    <row r="23" spans="1:15" ht="25.5">
      <c r="A23" s="504" t="s">
        <v>147</v>
      </c>
      <c r="B23" s="434" t="s">
        <v>148</v>
      </c>
      <c r="C23" s="1891">
        <v>0</v>
      </c>
      <c r="D23" s="1889">
        <v>0</v>
      </c>
      <c r="E23" s="1887">
        <v>0</v>
      </c>
      <c r="F23" s="1889">
        <v>0</v>
      </c>
      <c r="G23" s="1889">
        <v>0</v>
      </c>
      <c r="H23" s="1889">
        <v>0</v>
      </c>
      <c r="I23" s="1889">
        <v>0</v>
      </c>
      <c r="J23" s="1889">
        <v>0</v>
      </c>
      <c r="K23" s="1889">
        <v>0</v>
      </c>
      <c r="L23" s="1889">
        <v>0</v>
      </c>
      <c r="M23" s="1889">
        <v>0</v>
      </c>
      <c r="N23" s="1889">
        <v>0</v>
      </c>
      <c r="O23" s="1889">
        <v>0</v>
      </c>
    </row>
    <row r="24" spans="1:15" ht="19.5" customHeight="1">
      <c r="A24" s="504" t="s">
        <v>149</v>
      </c>
      <c r="B24" s="432" t="s">
        <v>150</v>
      </c>
      <c r="C24" s="1891">
        <v>9</v>
      </c>
      <c r="D24" s="1889">
        <v>6</v>
      </c>
      <c r="E24" s="1887">
        <v>1</v>
      </c>
      <c r="F24" s="1889">
        <v>0</v>
      </c>
      <c r="G24" s="1889">
        <v>1</v>
      </c>
      <c r="H24" s="1889">
        <v>0</v>
      </c>
      <c r="I24" s="1889">
        <v>0</v>
      </c>
      <c r="J24" s="1889">
        <v>2</v>
      </c>
      <c r="K24" s="1889">
        <v>0</v>
      </c>
      <c r="L24" s="1889">
        <v>0</v>
      </c>
      <c r="M24" s="1889">
        <v>0</v>
      </c>
      <c r="N24" s="1889">
        <v>0</v>
      </c>
      <c r="O24" s="1889">
        <v>0</v>
      </c>
    </row>
    <row r="25" spans="1:15" ht="22.5" customHeight="1">
      <c r="A25" s="505" t="s">
        <v>53</v>
      </c>
      <c r="B25" s="395" t="s">
        <v>151</v>
      </c>
      <c r="C25" s="1891">
        <v>407</v>
      </c>
      <c r="D25" s="1889">
        <v>144</v>
      </c>
      <c r="E25" s="1887">
        <v>147</v>
      </c>
      <c r="F25" s="1889">
        <v>0</v>
      </c>
      <c r="G25" s="1889">
        <v>147</v>
      </c>
      <c r="H25" s="1889">
        <v>0</v>
      </c>
      <c r="I25" s="1889">
        <v>36</v>
      </c>
      <c r="J25" s="1889">
        <v>80</v>
      </c>
      <c r="K25" s="1889">
        <v>0</v>
      </c>
      <c r="L25" s="1889">
        <v>0</v>
      </c>
      <c r="M25" s="1889">
        <v>0</v>
      </c>
      <c r="N25" s="1889">
        <v>0</v>
      </c>
      <c r="O25" s="1889">
        <v>0</v>
      </c>
    </row>
    <row r="26" spans="1:15" ht="32.25" customHeight="1">
      <c r="A26" s="506" t="s">
        <v>555</v>
      </c>
      <c r="B26" s="435" t="s">
        <v>152</v>
      </c>
      <c r="C26" s="632">
        <f>SUM(C18:C19)/C17*100</f>
        <v>19.420094403236682</v>
      </c>
      <c r="D26" s="632">
        <f aca="true" t="shared" si="0" ref="D26:O26">SUM(D18:D19)/D17*100</f>
        <v>16.58456486042693</v>
      </c>
      <c r="E26" s="632">
        <f t="shared" si="0"/>
        <v>36.71875</v>
      </c>
      <c r="F26" s="632">
        <f t="shared" si="0"/>
        <v>0</v>
      </c>
      <c r="G26" s="632">
        <f t="shared" si="0"/>
        <v>37.00787401574803</v>
      </c>
      <c r="H26" s="632" t="e">
        <f t="shared" si="0"/>
        <v>#DIV/0!</v>
      </c>
      <c r="I26" s="632">
        <f t="shared" si="0"/>
        <v>22.988505747126435</v>
      </c>
      <c r="J26" s="632">
        <f t="shared" si="0"/>
        <v>12.009237875288683</v>
      </c>
      <c r="K26" s="632">
        <f t="shared" si="0"/>
        <v>10</v>
      </c>
      <c r="L26" s="632" t="e">
        <f t="shared" si="0"/>
        <v>#DIV/0!</v>
      </c>
      <c r="M26" s="632">
        <f t="shared" si="0"/>
        <v>0</v>
      </c>
      <c r="N26" s="632" t="e">
        <f t="shared" si="0"/>
        <v>#DIV/0!</v>
      </c>
      <c r="O26" s="632" t="e">
        <f t="shared" si="0"/>
        <v>#DIV/0!</v>
      </c>
    </row>
    <row r="31" ht="15"/>
  </sheetData>
  <sheetProtection/>
  <mergeCells count="24">
    <mergeCell ref="A1:B1"/>
    <mergeCell ref="D1:K1"/>
    <mergeCell ref="D2:K2"/>
    <mergeCell ref="A6:B9"/>
    <mergeCell ref="C6:C9"/>
    <mergeCell ref="E7:G7"/>
    <mergeCell ref="D3:K3"/>
    <mergeCell ref="D7:D9"/>
    <mergeCell ref="I7:I9"/>
    <mergeCell ref="L1:O1"/>
    <mergeCell ref="L2:O2"/>
    <mergeCell ref="L3:O3"/>
    <mergeCell ref="M7:M9"/>
    <mergeCell ref="L4:O4"/>
    <mergeCell ref="O7:O9"/>
    <mergeCell ref="L7:L9"/>
    <mergeCell ref="A10:B10"/>
    <mergeCell ref="F8:G8"/>
    <mergeCell ref="E8:E9"/>
    <mergeCell ref="D6:O6"/>
    <mergeCell ref="N7:N9"/>
    <mergeCell ref="H7:H9"/>
    <mergeCell ref="J7:J9"/>
    <mergeCell ref="K7:K9"/>
  </mergeCells>
  <printOptions/>
  <pageMargins left="0.45" right="0" top="0.25" bottom="0" header="0.5" footer="0.31"/>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51"/>
  </sheetPr>
  <dimension ref="A1:C40"/>
  <sheetViews>
    <sheetView showZeros="0" view="pageBreakPreview" zoomScale="85" zoomScaleNormal="80" zoomScaleSheetLayoutView="85" zoomScalePageLayoutView="0" workbookViewId="0" topLeftCell="A22">
      <selection activeCell="C33" sqref="C33"/>
    </sheetView>
  </sheetViews>
  <sheetFormatPr defaultColWidth="9.00390625" defaultRowHeight="15.75"/>
  <cols>
    <col min="1" max="1" width="4.25390625" style="424" customWidth="1"/>
    <col min="2" max="2" width="47.375" style="424" customWidth="1"/>
    <col min="3" max="3" width="39.75390625" style="424" customWidth="1"/>
    <col min="4" max="16384" width="9.00390625" style="424" customWidth="1"/>
  </cols>
  <sheetData>
    <row r="1" spans="1:3" s="438" customFormat="1" ht="39.75" customHeight="1">
      <c r="A1" s="1487" t="s">
        <v>571</v>
      </c>
      <c r="B1" s="1488"/>
      <c r="C1" s="1488"/>
    </row>
    <row r="2" spans="1:3" ht="21" customHeight="1">
      <c r="A2" s="1489" t="s">
        <v>70</v>
      </c>
      <c r="B2" s="1490"/>
      <c r="C2" s="442" t="s">
        <v>340</v>
      </c>
    </row>
    <row r="3" spans="1:3" s="445" customFormat="1" ht="15" customHeight="1">
      <c r="A3" s="1491" t="s">
        <v>6</v>
      </c>
      <c r="B3" s="1492"/>
      <c r="C3" s="444">
        <v>1</v>
      </c>
    </row>
    <row r="4" spans="1:3" s="663" customFormat="1" ht="19.5" customHeight="1">
      <c r="A4" s="660" t="s">
        <v>52</v>
      </c>
      <c r="B4" s="661" t="s">
        <v>569</v>
      </c>
      <c r="C4" s="662">
        <f>SUM(C5:C13)</f>
        <v>7</v>
      </c>
    </row>
    <row r="5" spans="1:3" s="26" customFormat="1" ht="19.5" customHeight="1">
      <c r="A5" s="447" t="s">
        <v>54</v>
      </c>
      <c r="B5" s="518" t="s">
        <v>168</v>
      </c>
      <c r="C5" s="681">
        <v>0</v>
      </c>
    </row>
    <row r="6" spans="1:3" s="26" customFormat="1" ht="19.5" customHeight="1">
      <c r="A6" s="448" t="s">
        <v>55</v>
      </c>
      <c r="B6" s="518" t="s">
        <v>170</v>
      </c>
      <c r="C6" s="681">
        <v>2</v>
      </c>
    </row>
    <row r="7" spans="1:3" s="26" customFormat="1" ht="19.5" customHeight="1">
      <c r="A7" s="448" t="s">
        <v>141</v>
      </c>
      <c r="B7" s="518" t="s">
        <v>180</v>
      </c>
      <c r="C7" s="681">
        <v>4</v>
      </c>
    </row>
    <row r="8" spans="1:3" s="26" customFormat="1" ht="19.5" customHeight="1">
      <c r="A8" s="448" t="s">
        <v>143</v>
      </c>
      <c r="B8" s="518" t="s">
        <v>172</v>
      </c>
      <c r="C8" s="681">
        <v>1</v>
      </c>
    </row>
    <row r="9" spans="1:3" s="26" customFormat="1" ht="19.5" customHeight="1">
      <c r="A9" s="448" t="s">
        <v>145</v>
      </c>
      <c r="B9" s="518" t="s">
        <v>156</v>
      </c>
      <c r="C9" s="409"/>
    </row>
    <row r="10" spans="1:3" s="26" customFormat="1" ht="19.5" customHeight="1">
      <c r="A10" s="448" t="s">
        <v>147</v>
      </c>
      <c r="B10" s="518" t="s">
        <v>185</v>
      </c>
      <c r="C10" s="409"/>
    </row>
    <row r="11" spans="1:3" s="26" customFormat="1" ht="19.5" customHeight="1">
      <c r="A11" s="448" t="s">
        <v>149</v>
      </c>
      <c r="B11" s="518" t="s">
        <v>158</v>
      </c>
      <c r="C11" s="409"/>
    </row>
    <row r="12" spans="1:3" s="449" customFormat="1" ht="19.5" customHeight="1">
      <c r="A12" s="448" t="s">
        <v>186</v>
      </c>
      <c r="B12" s="518" t="s">
        <v>187</v>
      </c>
      <c r="C12" s="409"/>
    </row>
    <row r="13" spans="1:3" s="449" customFormat="1" ht="19.5" customHeight="1">
      <c r="A13" s="448" t="s">
        <v>575</v>
      </c>
      <c r="B13" s="518" t="s">
        <v>160</v>
      </c>
      <c r="C13" s="409"/>
    </row>
    <row r="14" spans="1:3" s="664" customFormat="1" ht="19.5" customHeight="1">
      <c r="A14" s="660" t="s">
        <v>53</v>
      </c>
      <c r="B14" s="661" t="s">
        <v>567</v>
      </c>
      <c r="C14" s="662">
        <f>SUM(C15:C16)</f>
        <v>3</v>
      </c>
    </row>
    <row r="15" spans="1:3" s="449" customFormat="1" ht="19.5" customHeight="1">
      <c r="A15" s="447" t="s">
        <v>56</v>
      </c>
      <c r="B15" s="518" t="s">
        <v>188</v>
      </c>
      <c r="C15" s="409">
        <v>3</v>
      </c>
    </row>
    <row r="16" spans="1:3" s="449" customFormat="1" ht="19.5" customHeight="1">
      <c r="A16" s="447" t="s">
        <v>57</v>
      </c>
      <c r="B16" s="518" t="s">
        <v>160</v>
      </c>
      <c r="C16" s="409"/>
    </row>
    <row r="17" spans="1:3" s="663" customFormat="1" ht="19.5" customHeight="1">
      <c r="A17" s="660" t="s">
        <v>58</v>
      </c>
      <c r="B17" s="661" t="s">
        <v>150</v>
      </c>
      <c r="C17" s="662">
        <f>SUM(C18:C20)</f>
        <v>9</v>
      </c>
    </row>
    <row r="18" spans="1:3" s="26" customFormat="1" ht="19.5" customHeight="1">
      <c r="A18" s="447" t="s">
        <v>161</v>
      </c>
      <c r="B18" s="518" t="s">
        <v>189</v>
      </c>
      <c r="C18" s="681">
        <v>3</v>
      </c>
    </row>
    <row r="19" spans="1:3" s="26" customFormat="1" ht="30">
      <c r="A19" s="448" t="s">
        <v>163</v>
      </c>
      <c r="B19" s="518" t="s">
        <v>164</v>
      </c>
      <c r="C19" s="681">
        <v>3</v>
      </c>
    </row>
    <row r="20" spans="1:3" s="26" customFormat="1" ht="19.5" customHeight="1">
      <c r="A20" s="448" t="s">
        <v>165</v>
      </c>
      <c r="B20" s="518" t="s">
        <v>166</v>
      </c>
      <c r="C20" s="681">
        <v>3</v>
      </c>
    </row>
    <row r="21" spans="1:3" s="665" customFormat="1" ht="19.5" customHeight="1">
      <c r="A21" s="660" t="s">
        <v>73</v>
      </c>
      <c r="B21" s="661" t="s">
        <v>564</v>
      </c>
      <c r="C21" s="662">
        <f>SUM(C22:C28)</f>
        <v>67</v>
      </c>
    </row>
    <row r="22" spans="1:3" s="26" customFormat="1" ht="19.5" customHeight="1">
      <c r="A22" s="448" t="s">
        <v>167</v>
      </c>
      <c r="B22" s="518" t="s">
        <v>168</v>
      </c>
      <c r="C22" s="681">
        <v>12</v>
      </c>
    </row>
    <row r="23" spans="1:3" s="26" customFormat="1" ht="19.5" customHeight="1">
      <c r="A23" s="448" t="s">
        <v>169</v>
      </c>
      <c r="B23" s="518" t="s">
        <v>170</v>
      </c>
      <c r="C23" s="681">
        <v>0</v>
      </c>
    </row>
    <row r="24" spans="1:3" s="26" customFormat="1" ht="19.5" customHeight="1">
      <c r="A24" s="448" t="s">
        <v>171</v>
      </c>
      <c r="B24" s="518" t="s">
        <v>190</v>
      </c>
      <c r="C24" s="681">
        <v>44</v>
      </c>
    </row>
    <row r="25" spans="1:3" s="26" customFormat="1" ht="19.5" customHeight="1">
      <c r="A25" s="448" t="s">
        <v>173</v>
      </c>
      <c r="B25" s="518" t="s">
        <v>155</v>
      </c>
      <c r="C25" s="681">
        <v>6</v>
      </c>
    </row>
    <row r="26" spans="1:3" s="26" customFormat="1" ht="19.5" customHeight="1">
      <c r="A26" s="448" t="s">
        <v>174</v>
      </c>
      <c r="B26" s="518" t="s">
        <v>191</v>
      </c>
      <c r="C26" s="681">
        <v>1</v>
      </c>
    </row>
    <row r="27" spans="1:3" s="26" customFormat="1" ht="19.5" customHeight="1">
      <c r="A27" s="448" t="s">
        <v>175</v>
      </c>
      <c r="B27" s="518" t="s">
        <v>158</v>
      </c>
      <c r="C27" s="681">
        <v>1</v>
      </c>
    </row>
    <row r="28" spans="1:3" s="26" customFormat="1" ht="19.5" customHeight="1">
      <c r="A28" s="448" t="s">
        <v>192</v>
      </c>
      <c r="B28" s="518" t="s">
        <v>193</v>
      </c>
      <c r="C28" s="681">
        <v>3</v>
      </c>
    </row>
    <row r="29" spans="1:3" s="665" customFormat="1" ht="19.5" customHeight="1">
      <c r="A29" s="660" t="s">
        <v>74</v>
      </c>
      <c r="B29" s="661" t="s">
        <v>568</v>
      </c>
      <c r="C29" s="662">
        <f>SUM(C30:C32)</f>
        <v>407</v>
      </c>
    </row>
    <row r="30" spans="1:3" ht="19.5" customHeight="1">
      <c r="A30" s="448" t="s">
        <v>177</v>
      </c>
      <c r="B30" s="518" t="s">
        <v>168</v>
      </c>
      <c r="C30" s="681">
        <v>319</v>
      </c>
    </row>
    <row r="31" spans="1:3" s="26" customFormat="1" ht="19.5" customHeight="1">
      <c r="A31" s="448" t="s">
        <v>178</v>
      </c>
      <c r="B31" s="518" t="s">
        <v>170</v>
      </c>
      <c r="C31" s="681">
        <v>0</v>
      </c>
    </row>
    <row r="32" spans="1:3" s="26" customFormat="1" ht="19.5" customHeight="1">
      <c r="A32" s="448" t="s">
        <v>179</v>
      </c>
      <c r="B32" s="518" t="s">
        <v>190</v>
      </c>
      <c r="C32" s="681">
        <v>88</v>
      </c>
    </row>
    <row r="33" spans="1:3" s="26" customFormat="1" ht="25.5" customHeight="1">
      <c r="A33" s="1493"/>
      <c r="B33" s="1493"/>
      <c r="C33" s="519" t="str">
        <f>'Thong tin'!B8</f>
        <v>Hải Phòng, ngày 03 tháng 8 năm 2017</v>
      </c>
    </row>
    <row r="34" spans="1:3" s="26" customFormat="1" ht="18.75">
      <c r="A34" s="1486" t="s">
        <v>4</v>
      </c>
      <c r="B34" s="1486"/>
      <c r="C34" s="520" t="str">
        <f>'Thong tin'!B7</f>
        <v>
PHÓ CỤC TRƯỞNG</v>
      </c>
    </row>
    <row r="35" spans="1:3" s="26" customFormat="1" ht="18.75">
      <c r="A35" s="521"/>
      <c r="B35" s="522"/>
      <c r="C35" s="522"/>
    </row>
    <row r="36" spans="1:3" s="26" customFormat="1" ht="15.75">
      <c r="A36" s="521"/>
      <c r="B36" s="523"/>
      <c r="C36" s="523"/>
    </row>
    <row r="37" spans="1:3" s="26" customFormat="1" ht="15.75">
      <c r="A37" s="521"/>
      <c r="B37" s="521"/>
      <c r="C37" s="521"/>
    </row>
    <row r="38" spans="1:3" ht="15.75">
      <c r="A38" s="524"/>
      <c r="B38" s="525"/>
      <c r="C38" s="526"/>
    </row>
    <row r="39" spans="1:3" ht="15.75">
      <c r="A39" s="527"/>
      <c r="B39" s="526"/>
      <c r="C39" s="527"/>
    </row>
    <row r="40" spans="1:3" s="446" customFormat="1" ht="18.75">
      <c r="A40" s="1485" t="str">
        <f>'Thong tin'!B5</f>
        <v>Trần Thị Minh</v>
      </c>
      <c r="B40" s="1485"/>
      <c r="C40" s="528" t="str">
        <f>'Thong tin'!B6</f>
        <v>Nguyễn Thị Mai Hoa</v>
      </c>
    </row>
  </sheetData>
  <sheetProtection/>
  <mergeCells count="6">
    <mergeCell ref="A40:B40"/>
    <mergeCell ref="A34:B34"/>
    <mergeCell ref="A1:C1"/>
    <mergeCell ref="A2:B2"/>
    <mergeCell ref="A3:B3"/>
    <mergeCell ref="A33:B33"/>
  </mergeCells>
  <printOptions/>
  <pageMargins left="0.37" right="0.25" top="0.3" bottom="0" header="0.47" footer="0.2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1"/>
  </sheetPr>
  <dimension ref="A1:O27"/>
  <sheetViews>
    <sheetView showZeros="0" view="pageBreakPreview" zoomScale="85" zoomScaleSheetLayoutView="85" zoomScalePageLayoutView="0" workbookViewId="0" topLeftCell="A10">
      <selection activeCell="D21" sqref="D21"/>
    </sheetView>
  </sheetViews>
  <sheetFormatPr defaultColWidth="9.00390625" defaultRowHeight="15.75"/>
  <cols>
    <col min="1" max="1" width="4.125" style="438" customWidth="1"/>
    <col min="2" max="2" width="26.375" style="388" customWidth="1"/>
    <col min="3" max="3" width="11.375" style="388" customWidth="1"/>
    <col min="4" max="4" width="9.375" style="388" customWidth="1"/>
    <col min="5" max="5" width="10.375" style="388" customWidth="1"/>
    <col min="6" max="6" width="9.875" style="388" bestFit="1" customWidth="1"/>
    <col min="7" max="7" width="10.00390625" style="388" customWidth="1"/>
    <col min="8" max="8" width="8.25390625" style="388" customWidth="1"/>
    <col min="9" max="9" width="9.625" style="388" customWidth="1"/>
    <col min="10" max="10" width="10.625" style="388" customWidth="1"/>
    <col min="11" max="11" width="8.25390625" style="388" customWidth="1"/>
    <col min="12" max="12" width="5.75390625" style="388" customWidth="1"/>
    <col min="13" max="13" width="5.50390625" style="388" customWidth="1"/>
    <col min="14" max="14" width="8.25390625" style="388" customWidth="1"/>
    <col min="15" max="15" width="12.875" style="646" bestFit="1" customWidth="1"/>
    <col min="16" max="16" width="11.875" style="388" bestFit="1" customWidth="1"/>
    <col min="17" max="16384" width="9.00390625" style="388" customWidth="1"/>
  </cols>
  <sheetData>
    <row r="1" spans="1:15" ht="23.25" customHeight="1">
      <c r="A1" s="1494" t="s">
        <v>31</v>
      </c>
      <c r="B1" s="1494"/>
      <c r="C1" s="452"/>
      <c r="D1" s="453" t="s">
        <v>194</v>
      </c>
      <c r="E1" s="453"/>
      <c r="F1" s="453"/>
      <c r="G1" s="453"/>
      <c r="H1" s="453"/>
      <c r="I1" s="453"/>
      <c r="J1" s="454"/>
      <c r="K1" s="420"/>
      <c r="L1" s="422" t="s">
        <v>557</v>
      </c>
      <c r="M1" s="436"/>
      <c r="N1" s="415"/>
      <c r="O1" s="651"/>
    </row>
    <row r="2" spans="1:15" ht="16.5" customHeight="1">
      <c r="A2" s="1495" t="s">
        <v>344</v>
      </c>
      <c r="B2" s="1495"/>
      <c r="C2" s="1495"/>
      <c r="D2" s="1444" t="s">
        <v>118</v>
      </c>
      <c r="E2" s="1444"/>
      <c r="F2" s="1444"/>
      <c r="G2" s="1444"/>
      <c r="H2" s="1444"/>
      <c r="I2" s="1444"/>
      <c r="J2" s="453"/>
      <c r="K2" s="422"/>
      <c r="L2" s="455" t="str">
        <f>'Thong tin'!B4</f>
        <v>CTHADS Hải Phòng</v>
      </c>
      <c r="M2" s="422"/>
      <c r="N2" s="415"/>
      <c r="O2" s="652"/>
    </row>
    <row r="3" spans="1:15" ht="16.5" customHeight="1">
      <c r="A3" s="1495" t="s">
        <v>345</v>
      </c>
      <c r="B3" s="1495"/>
      <c r="C3" s="415"/>
      <c r="D3" s="1450" t="str">
        <f>'Thong tin'!B3</f>
        <v>10 tháng / năm 2017</v>
      </c>
      <c r="E3" s="1450"/>
      <c r="F3" s="1450"/>
      <c r="G3" s="1450"/>
      <c r="H3" s="1450"/>
      <c r="I3" s="1450"/>
      <c r="J3" s="456"/>
      <c r="K3" s="420"/>
      <c r="L3" s="422" t="s">
        <v>523</v>
      </c>
      <c r="M3" s="436"/>
      <c r="N3" s="415"/>
      <c r="O3" s="653"/>
    </row>
    <row r="4" spans="1:15" ht="16.5" customHeight="1">
      <c r="A4" s="436" t="s">
        <v>119</v>
      </c>
      <c r="B4" s="436"/>
      <c r="C4" s="421"/>
      <c r="D4" s="422"/>
      <c r="E4" s="422"/>
      <c r="F4" s="421"/>
      <c r="G4" s="423"/>
      <c r="H4" s="423"/>
      <c r="I4" s="423"/>
      <c r="J4" s="421"/>
      <c r="K4" s="422"/>
      <c r="L4" s="455" t="s">
        <v>412</v>
      </c>
      <c r="M4" s="422"/>
      <c r="N4" s="415"/>
      <c r="O4" s="653"/>
    </row>
    <row r="5" spans="1:15" ht="16.5" customHeight="1">
      <c r="A5" s="424"/>
      <c r="B5" s="421"/>
      <c r="C5" s="458"/>
      <c r="D5" s="421"/>
      <c r="E5" s="421"/>
      <c r="F5" s="425"/>
      <c r="G5" s="426"/>
      <c r="H5" s="426"/>
      <c r="I5" s="426"/>
      <c r="J5" s="425"/>
      <c r="K5" s="427"/>
      <c r="L5" s="427" t="s">
        <v>195</v>
      </c>
      <c r="M5" s="427"/>
      <c r="N5" s="415"/>
      <c r="O5" s="653"/>
    </row>
    <row r="6" spans="1:15" ht="18.75" customHeight="1">
      <c r="A6" s="1457" t="s">
        <v>69</v>
      </c>
      <c r="B6" s="1458"/>
      <c r="C6" s="1464" t="s">
        <v>38</v>
      </c>
      <c r="D6" s="1463" t="s">
        <v>338</v>
      </c>
      <c r="E6" s="1465"/>
      <c r="F6" s="1465"/>
      <c r="G6" s="1465"/>
      <c r="H6" s="1465"/>
      <c r="I6" s="1465"/>
      <c r="J6" s="1465"/>
      <c r="K6" s="1465"/>
      <c r="L6" s="1465"/>
      <c r="M6" s="1465"/>
      <c r="N6" s="1466"/>
      <c r="O6" s="654"/>
    </row>
    <row r="7" spans="1:15" ht="27" customHeight="1">
      <c r="A7" s="1459"/>
      <c r="B7" s="1460"/>
      <c r="C7" s="1464"/>
      <c r="D7" s="1448" t="s">
        <v>196</v>
      </c>
      <c r="E7" s="1469" t="s">
        <v>197</v>
      </c>
      <c r="F7" s="1470"/>
      <c r="G7" s="1471"/>
      <c r="H7" s="1448" t="s">
        <v>198</v>
      </c>
      <c r="I7" s="1448" t="s">
        <v>123</v>
      </c>
      <c r="J7" s="1448" t="s">
        <v>199</v>
      </c>
      <c r="K7" s="1448" t="s">
        <v>125</v>
      </c>
      <c r="L7" s="1448" t="s">
        <v>126</v>
      </c>
      <c r="M7" s="1448" t="s">
        <v>127</v>
      </c>
      <c r="N7" s="1483" t="s">
        <v>128</v>
      </c>
      <c r="O7" s="653"/>
    </row>
    <row r="8" spans="1:15" ht="18" customHeight="1">
      <c r="A8" s="1459"/>
      <c r="B8" s="1460"/>
      <c r="C8" s="1464"/>
      <c r="D8" s="1448"/>
      <c r="E8" s="1456" t="s">
        <v>37</v>
      </c>
      <c r="F8" s="1452" t="s">
        <v>7</v>
      </c>
      <c r="G8" s="1453"/>
      <c r="H8" s="1448"/>
      <c r="I8" s="1448"/>
      <c r="J8" s="1448"/>
      <c r="K8" s="1448"/>
      <c r="L8" s="1448"/>
      <c r="M8" s="1448"/>
      <c r="N8" s="1483"/>
      <c r="O8" s="655"/>
    </row>
    <row r="9" spans="1:15" ht="26.25" customHeight="1">
      <c r="A9" s="1461"/>
      <c r="B9" s="1462"/>
      <c r="C9" s="1464"/>
      <c r="D9" s="1449"/>
      <c r="E9" s="1449"/>
      <c r="F9" s="548" t="s">
        <v>200</v>
      </c>
      <c r="G9" s="549" t="s">
        <v>201</v>
      </c>
      <c r="H9" s="1449"/>
      <c r="I9" s="1449"/>
      <c r="J9" s="1449"/>
      <c r="K9" s="1449"/>
      <c r="L9" s="1449"/>
      <c r="M9" s="1449"/>
      <c r="N9" s="1483"/>
      <c r="O9" s="655"/>
    </row>
    <row r="10" spans="1:15" s="462" customFormat="1" ht="20.25" customHeight="1">
      <c r="A10" s="1496" t="s">
        <v>40</v>
      </c>
      <c r="B10" s="1497"/>
      <c r="C10" s="461">
        <v>1</v>
      </c>
      <c r="D10" s="461">
        <v>2</v>
      </c>
      <c r="E10" s="461">
        <v>3</v>
      </c>
      <c r="F10" s="461">
        <v>4</v>
      </c>
      <c r="G10" s="461">
        <v>5</v>
      </c>
      <c r="H10" s="461">
        <v>6</v>
      </c>
      <c r="I10" s="461">
        <v>7</v>
      </c>
      <c r="J10" s="461">
        <v>8</v>
      </c>
      <c r="K10" s="461">
        <v>9</v>
      </c>
      <c r="L10" s="461">
        <v>10</v>
      </c>
      <c r="M10" s="461">
        <v>11</v>
      </c>
      <c r="N10" s="461">
        <v>12</v>
      </c>
      <c r="O10" s="656"/>
    </row>
    <row r="11" spans="1:15" ht="21" customHeight="1">
      <c r="A11" s="503" t="s">
        <v>0</v>
      </c>
      <c r="B11" s="429" t="s">
        <v>131</v>
      </c>
      <c r="C11" s="1897">
        <v>383705160</v>
      </c>
      <c r="D11" s="1897">
        <v>16089602</v>
      </c>
      <c r="E11" s="1897">
        <v>179659561</v>
      </c>
      <c r="F11" s="1897">
        <v>36277962</v>
      </c>
      <c r="G11" s="1897">
        <v>143381599</v>
      </c>
      <c r="H11" s="1897">
        <v>86673</v>
      </c>
      <c r="I11" s="1897">
        <v>3703037</v>
      </c>
      <c r="J11" s="1897">
        <v>177214550</v>
      </c>
      <c r="K11" s="1897">
        <v>118715</v>
      </c>
      <c r="L11" s="1897">
        <v>0</v>
      </c>
      <c r="M11" s="1897">
        <v>0</v>
      </c>
      <c r="N11" s="1897">
        <v>6833022</v>
      </c>
      <c r="O11" s="654"/>
    </row>
    <row r="12" spans="1:15" ht="21" customHeight="1">
      <c r="A12" s="504">
        <v>1</v>
      </c>
      <c r="B12" s="432" t="s">
        <v>132</v>
      </c>
      <c r="C12" s="1897">
        <v>157762262</v>
      </c>
      <c r="D12" s="1899">
        <v>11204175</v>
      </c>
      <c r="E12" s="1899">
        <v>115347307</v>
      </c>
      <c r="F12" s="1899">
        <v>25809937</v>
      </c>
      <c r="G12" s="1899">
        <v>89537370</v>
      </c>
      <c r="H12" s="1899">
        <v>80523</v>
      </c>
      <c r="I12" s="1899">
        <v>1948420</v>
      </c>
      <c r="J12" s="1899">
        <v>24762915</v>
      </c>
      <c r="K12" s="1899">
        <v>81474</v>
      </c>
      <c r="L12" s="1899">
        <v>0</v>
      </c>
      <c r="M12" s="1899">
        <v>0</v>
      </c>
      <c r="N12" s="1899">
        <v>4337448</v>
      </c>
      <c r="O12" s="654"/>
    </row>
    <row r="13" spans="1:15" ht="21" customHeight="1">
      <c r="A13" s="504">
        <v>2</v>
      </c>
      <c r="B13" s="432" t="s">
        <v>133</v>
      </c>
      <c r="C13" s="1897">
        <v>225942898</v>
      </c>
      <c r="D13" s="1899">
        <v>4885427</v>
      </c>
      <c r="E13" s="1899">
        <v>64312254</v>
      </c>
      <c r="F13" s="1899">
        <v>10468025</v>
      </c>
      <c r="G13" s="1899">
        <v>53844229</v>
      </c>
      <c r="H13" s="1899">
        <v>6150</v>
      </c>
      <c r="I13" s="1899">
        <v>1754617</v>
      </c>
      <c r="J13" s="1899">
        <v>152451635</v>
      </c>
      <c r="K13" s="1899">
        <v>37241</v>
      </c>
      <c r="L13" s="1899">
        <v>0</v>
      </c>
      <c r="M13" s="1899">
        <v>0</v>
      </c>
      <c r="N13" s="1899">
        <v>2495574</v>
      </c>
      <c r="O13" s="654"/>
    </row>
    <row r="14" spans="1:15" ht="21" customHeight="1">
      <c r="A14" s="505" t="s">
        <v>1</v>
      </c>
      <c r="B14" s="395" t="s">
        <v>134</v>
      </c>
      <c r="C14" s="1897">
        <v>16646519</v>
      </c>
      <c r="D14" s="1899">
        <v>656295</v>
      </c>
      <c r="E14" s="1899">
        <v>14976402</v>
      </c>
      <c r="F14" s="1899">
        <v>267506</v>
      </c>
      <c r="G14" s="1899">
        <v>14708896</v>
      </c>
      <c r="H14" s="1899">
        <v>0</v>
      </c>
      <c r="I14" s="1899">
        <v>7182</v>
      </c>
      <c r="J14" s="1899">
        <v>1006640</v>
      </c>
      <c r="K14" s="1899">
        <v>0</v>
      </c>
      <c r="L14" s="1899">
        <v>0</v>
      </c>
      <c r="M14" s="1899">
        <v>0</v>
      </c>
      <c r="N14" s="1899">
        <v>0</v>
      </c>
      <c r="O14" s="654"/>
    </row>
    <row r="15" spans="1:15" ht="21" customHeight="1">
      <c r="A15" s="505" t="s">
        <v>9</v>
      </c>
      <c r="B15" s="395" t="s">
        <v>135</v>
      </c>
      <c r="C15" s="1897">
        <v>122684</v>
      </c>
      <c r="D15" s="1899">
        <v>0</v>
      </c>
      <c r="E15" s="1899">
        <v>0</v>
      </c>
      <c r="F15" s="1899">
        <v>0</v>
      </c>
      <c r="G15" s="1899">
        <v>0</v>
      </c>
      <c r="H15" s="1899">
        <v>0</v>
      </c>
      <c r="I15" s="1899">
        <v>0</v>
      </c>
      <c r="J15" s="1899">
        <v>122684</v>
      </c>
      <c r="K15" s="1899">
        <v>0</v>
      </c>
      <c r="L15" s="1899">
        <v>0</v>
      </c>
      <c r="M15" s="1899">
        <v>0</v>
      </c>
      <c r="N15" s="1899">
        <v>0</v>
      </c>
      <c r="O15" s="653"/>
    </row>
    <row r="16" spans="1:15" ht="21" customHeight="1">
      <c r="A16" s="505" t="s">
        <v>136</v>
      </c>
      <c r="B16" s="395" t="s">
        <v>137</v>
      </c>
      <c r="C16" s="1906">
        <v>367058641</v>
      </c>
      <c r="D16" s="1906">
        <v>15433307</v>
      </c>
      <c r="E16" s="1906">
        <v>164683159</v>
      </c>
      <c r="F16" s="1906">
        <v>36010456</v>
      </c>
      <c r="G16" s="1906">
        <v>128672703</v>
      </c>
      <c r="H16" s="1906">
        <v>86673</v>
      </c>
      <c r="I16" s="1906">
        <v>3695855</v>
      </c>
      <c r="J16" s="1906">
        <v>176207910</v>
      </c>
      <c r="K16" s="1906">
        <v>118715</v>
      </c>
      <c r="L16" s="1906">
        <v>0</v>
      </c>
      <c r="M16" s="1906">
        <v>0</v>
      </c>
      <c r="N16" s="1906">
        <v>6833022</v>
      </c>
      <c r="O16" s="654"/>
    </row>
    <row r="17" spans="1:15" ht="21" customHeight="1">
      <c r="A17" s="505" t="s">
        <v>52</v>
      </c>
      <c r="B17" s="433" t="s">
        <v>138</v>
      </c>
      <c r="C17" s="1897">
        <v>249229739</v>
      </c>
      <c r="D17" s="1897">
        <v>10150382</v>
      </c>
      <c r="E17" s="1897">
        <v>63737543</v>
      </c>
      <c r="F17" s="1897">
        <v>12705866</v>
      </c>
      <c r="G17" s="1897">
        <v>51031677</v>
      </c>
      <c r="H17" s="1897">
        <v>44351</v>
      </c>
      <c r="I17" s="1897">
        <v>2640965</v>
      </c>
      <c r="J17" s="1897">
        <v>166481911</v>
      </c>
      <c r="K17" s="1897">
        <v>42811</v>
      </c>
      <c r="L17" s="1897">
        <v>0</v>
      </c>
      <c r="M17" s="1897">
        <v>0</v>
      </c>
      <c r="N17" s="1897">
        <v>6131776</v>
      </c>
      <c r="O17" s="657"/>
    </row>
    <row r="18" spans="1:15" ht="21" customHeight="1">
      <c r="A18" s="504" t="s">
        <v>54</v>
      </c>
      <c r="B18" s="432" t="s">
        <v>139</v>
      </c>
      <c r="C18" s="1897">
        <v>166661258</v>
      </c>
      <c r="D18" s="1901">
        <v>2572495</v>
      </c>
      <c r="E18" s="1899">
        <v>12956019</v>
      </c>
      <c r="F18" s="1901">
        <v>997262</v>
      </c>
      <c r="G18" s="1901">
        <v>11958757</v>
      </c>
      <c r="H18" s="1901">
        <v>6450</v>
      </c>
      <c r="I18" s="1901">
        <v>1663970</v>
      </c>
      <c r="J18" s="1901">
        <v>147065485</v>
      </c>
      <c r="K18" s="1901">
        <v>18042</v>
      </c>
      <c r="L18" s="1901">
        <v>0</v>
      </c>
      <c r="M18" s="1901">
        <v>0</v>
      </c>
      <c r="N18" s="1901">
        <v>2378797</v>
      </c>
      <c r="O18" s="651"/>
    </row>
    <row r="19" spans="1:15" ht="21" customHeight="1">
      <c r="A19" s="504" t="s">
        <v>55</v>
      </c>
      <c r="B19" s="432" t="s">
        <v>140</v>
      </c>
      <c r="C19" s="1897">
        <v>1074331</v>
      </c>
      <c r="D19" s="1901">
        <v>17977</v>
      </c>
      <c r="E19" s="1899">
        <v>886216</v>
      </c>
      <c r="F19" s="1901">
        <v>295775</v>
      </c>
      <c r="G19" s="1901">
        <v>590441</v>
      </c>
      <c r="H19" s="1901">
        <v>0</v>
      </c>
      <c r="I19" s="1901">
        <v>31368</v>
      </c>
      <c r="J19" s="1901">
        <v>138770</v>
      </c>
      <c r="K19" s="1901">
        <v>0</v>
      </c>
      <c r="L19" s="1901">
        <v>0</v>
      </c>
      <c r="M19" s="1901">
        <v>0</v>
      </c>
      <c r="N19" s="1901">
        <v>0</v>
      </c>
      <c r="O19" s="651"/>
    </row>
    <row r="20" spans="1:15" ht="21" customHeight="1">
      <c r="A20" s="504" t="s">
        <v>141</v>
      </c>
      <c r="B20" s="432" t="s">
        <v>202</v>
      </c>
      <c r="C20" s="1897">
        <v>34448</v>
      </c>
      <c r="D20" s="1901">
        <v>0</v>
      </c>
      <c r="E20" s="1899">
        <v>28748</v>
      </c>
      <c r="F20" s="1901">
        <v>1692</v>
      </c>
      <c r="G20" s="1901">
        <v>27056</v>
      </c>
      <c r="H20" s="1901">
        <v>0</v>
      </c>
      <c r="I20" s="1901">
        <v>5700</v>
      </c>
      <c r="J20" s="1901">
        <v>0</v>
      </c>
      <c r="K20" s="1901">
        <v>0</v>
      </c>
      <c r="L20" s="1901">
        <v>0</v>
      </c>
      <c r="M20" s="1901">
        <v>0</v>
      </c>
      <c r="N20" s="1901">
        <v>0</v>
      </c>
      <c r="O20" s="651"/>
    </row>
    <row r="21" spans="1:15" ht="15.75">
      <c r="A21" s="504" t="s">
        <v>143</v>
      </c>
      <c r="B21" s="432" t="s">
        <v>142</v>
      </c>
      <c r="C21" s="1897">
        <v>80978164</v>
      </c>
      <c r="D21" s="1901">
        <v>7343636</v>
      </c>
      <c r="E21" s="1899">
        <v>49866560</v>
      </c>
      <c r="F21" s="1901">
        <v>11411137</v>
      </c>
      <c r="G21" s="1901">
        <v>38455423</v>
      </c>
      <c r="H21" s="1901">
        <v>37901</v>
      </c>
      <c r="I21" s="1901">
        <v>939927</v>
      </c>
      <c r="J21" s="1901">
        <v>19012392</v>
      </c>
      <c r="K21" s="1901">
        <v>24769</v>
      </c>
      <c r="L21" s="1901">
        <v>0</v>
      </c>
      <c r="M21" s="1901">
        <v>0</v>
      </c>
      <c r="N21" s="1901">
        <v>3752979</v>
      </c>
      <c r="O21" s="651"/>
    </row>
    <row r="22" spans="1:15" ht="21" customHeight="1">
      <c r="A22" s="504" t="s">
        <v>145</v>
      </c>
      <c r="B22" s="432" t="s">
        <v>144</v>
      </c>
      <c r="C22" s="1897">
        <v>69435</v>
      </c>
      <c r="D22" s="1901">
        <v>69435</v>
      </c>
      <c r="E22" s="1899">
        <v>0</v>
      </c>
      <c r="F22" s="1901">
        <v>0</v>
      </c>
      <c r="G22" s="1901">
        <v>0</v>
      </c>
      <c r="H22" s="1901">
        <v>0</v>
      </c>
      <c r="I22" s="1901">
        <v>0</v>
      </c>
      <c r="J22" s="1901">
        <v>0</v>
      </c>
      <c r="K22" s="1901">
        <v>0</v>
      </c>
      <c r="L22" s="1901">
        <v>0</v>
      </c>
      <c r="M22" s="1901">
        <v>0</v>
      </c>
      <c r="N22" s="1901">
        <v>0</v>
      </c>
      <c r="O22" s="651"/>
    </row>
    <row r="23" spans="1:15" ht="21" customHeight="1">
      <c r="A23" s="504" t="s">
        <v>147</v>
      </c>
      <c r="B23" s="432" t="s">
        <v>146</v>
      </c>
      <c r="C23" s="1897">
        <v>293793</v>
      </c>
      <c r="D23" s="1901">
        <v>40529</v>
      </c>
      <c r="E23" s="1899">
        <v>0</v>
      </c>
      <c r="F23" s="1901">
        <v>0</v>
      </c>
      <c r="G23" s="1901">
        <v>0</v>
      </c>
      <c r="H23" s="1901">
        <v>0</v>
      </c>
      <c r="I23" s="1901">
        <v>0</v>
      </c>
      <c r="J23" s="1901">
        <v>253264</v>
      </c>
      <c r="K23" s="1901">
        <v>0</v>
      </c>
      <c r="L23" s="1901">
        <v>0</v>
      </c>
      <c r="M23" s="1901">
        <v>0</v>
      </c>
      <c r="N23" s="1901">
        <v>0</v>
      </c>
      <c r="O23" s="651"/>
    </row>
    <row r="24" spans="1:15" ht="25.5">
      <c r="A24" s="504" t="s">
        <v>149</v>
      </c>
      <c r="B24" s="434" t="s">
        <v>148</v>
      </c>
      <c r="C24" s="1897">
        <v>0</v>
      </c>
      <c r="D24" s="1901">
        <v>0</v>
      </c>
      <c r="E24" s="1899">
        <v>0</v>
      </c>
      <c r="F24" s="1901">
        <v>0</v>
      </c>
      <c r="G24" s="1901">
        <v>0</v>
      </c>
      <c r="H24" s="1901">
        <v>0</v>
      </c>
      <c r="I24" s="1901">
        <v>0</v>
      </c>
      <c r="J24" s="1901">
        <v>0</v>
      </c>
      <c r="K24" s="1901">
        <v>0</v>
      </c>
      <c r="L24" s="1901">
        <v>0</v>
      </c>
      <c r="M24" s="1901">
        <v>0</v>
      </c>
      <c r="N24" s="1901">
        <v>0</v>
      </c>
      <c r="O24" s="651"/>
    </row>
    <row r="25" spans="1:15" ht="21" customHeight="1">
      <c r="A25" s="504" t="s">
        <v>186</v>
      </c>
      <c r="B25" s="432" t="s">
        <v>150</v>
      </c>
      <c r="C25" s="1897">
        <v>118310</v>
      </c>
      <c r="D25" s="1901">
        <v>106310</v>
      </c>
      <c r="E25" s="1899">
        <v>0</v>
      </c>
      <c r="F25" s="1901">
        <v>0</v>
      </c>
      <c r="G25" s="1901">
        <v>0</v>
      </c>
      <c r="H25" s="1901">
        <v>0</v>
      </c>
      <c r="I25" s="1901">
        <v>0</v>
      </c>
      <c r="J25" s="1901">
        <v>12000</v>
      </c>
      <c r="K25" s="1901">
        <v>0</v>
      </c>
      <c r="L25" s="1901">
        <v>0</v>
      </c>
      <c r="M25" s="1901">
        <v>0</v>
      </c>
      <c r="N25" s="1901">
        <v>0</v>
      </c>
      <c r="O25" s="651"/>
    </row>
    <row r="26" spans="1:15" ht="21" customHeight="1">
      <c r="A26" s="505" t="s">
        <v>53</v>
      </c>
      <c r="B26" s="395" t="s">
        <v>151</v>
      </c>
      <c r="C26" s="1897">
        <v>117828902</v>
      </c>
      <c r="D26" s="1901">
        <v>5282925</v>
      </c>
      <c r="E26" s="1899">
        <v>100945616</v>
      </c>
      <c r="F26" s="1901">
        <v>23304590</v>
      </c>
      <c r="G26" s="1901">
        <v>77641026</v>
      </c>
      <c r="H26" s="1901">
        <v>42322</v>
      </c>
      <c r="I26" s="1901">
        <v>1054890</v>
      </c>
      <c r="J26" s="1901">
        <v>9725999</v>
      </c>
      <c r="K26" s="1901">
        <v>75904</v>
      </c>
      <c r="L26" s="1901">
        <v>0</v>
      </c>
      <c r="M26" s="1901">
        <v>0</v>
      </c>
      <c r="N26" s="1901">
        <v>701246</v>
      </c>
      <c r="O26" s="657"/>
    </row>
    <row r="27" spans="1:15" ht="30.75" customHeight="1">
      <c r="A27" s="529" t="s">
        <v>555</v>
      </c>
      <c r="B27" s="464" t="s">
        <v>203</v>
      </c>
      <c r="C27" s="647">
        <f>(C18+C19+C20)/C17*100</f>
        <v>67.3154165603006</v>
      </c>
      <c r="D27" s="647">
        <f aca="true" t="shared" si="0" ref="D27:N27">(D18+D19+D20)/D17*100</f>
        <v>25.520931133429265</v>
      </c>
      <c r="E27" s="647">
        <f t="shared" si="0"/>
        <v>21.76265721444581</v>
      </c>
      <c r="F27" s="647">
        <f t="shared" si="0"/>
        <v>10.190009874179374</v>
      </c>
      <c r="G27" s="647">
        <f t="shared" si="0"/>
        <v>24.64401473618043</v>
      </c>
      <c r="H27" s="647">
        <f t="shared" si="0"/>
        <v>14.543076819011972</v>
      </c>
      <c r="I27" s="647">
        <f t="shared" si="0"/>
        <v>64.40971387352728</v>
      </c>
      <c r="J27" s="647">
        <f t="shared" si="0"/>
        <v>88.42057020837537</v>
      </c>
      <c r="K27" s="647">
        <f t="shared" si="0"/>
        <v>42.14337436640116</v>
      </c>
      <c r="L27" s="647" t="e">
        <f t="shared" si="0"/>
        <v>#DIV/0!</v>
      </c>
      <c r="M27" s="647" t="e">
        <f t="shared" si="0"/>
        <v>#DIV/0!</v>
      </c>
      <c r="N27" s="647">
        <f t="shared" si="0"/>
        <v>38.794584146583304</v>
      </c>
      <c r="O27" s="651"/>
    </row>
  </sheetData>
  <sheetProtection/>
  <mergeCells count="20">
    <mergeCell ref="D7:D9"/>
    <mergeCell ref="D2:I2"/>
    <mergeCell ref="D3:I3"/>
    <mergeCell ref="A10:B10"/>
    <mergeCell ref="H7:H9"/>
    <mergeCell ref="I7:I9"/>
    <mergeCell ref="F8:G8"/>
    <mergeCell ref="D6:N6"/>
    <mergeCell ref="L7:L9"/>
    <mergeCell ref="N7:N9"/>
    <mergeCell ref="M7:M9"/>
    <mergeCell ref="A1:B1"/>
    <mergeCell ref="A2:C2"/>
    <mergeCell ref="A3:B3"/>
    <mergeCell ref="A6:B9"/>
    <mergeCell ref="C6:C9"/>
    <mergeCell ref="K7:K9"/>
    <mergeCell ref="J7:J9"/>
    <mergeCell ref="E7:G7"/>
    <mergeCell ref="E8:E9"/>
  </mergeCells>
  <printOptions/>
  <pageMargins left="0" right="0" top="0.2" bottom="0" header="0.5" footer="0.32"/>
  <pageSetup horizontalDpi="600" verticalDpi="600" orientation="landscape" paperSize="9" scale="95" r:id="rId2"/>
  <drawing r:id="rId1"/>
</worksheet>
</file>

<file path=xl/worksheets/sheet18.xml><?xml version="1.0" encoding="utf-8"?>
<worksheet xmlns="http://schemas.openxmlformats.org/spreadsheetml/2006/main" xmlns:r="http://schemas.openxmlformats.org/officeDocument/2006/relationships">
  <sheetPr>
    <tabColor indexed="11"/>
  </sheetPr>
  <dimension ref="A1:E43"/>
  <sheetViews>
    <sheetView showZeros="0" view="pageBreakPreview" zoomScale="85" zoomScaleNormal="80" zoomScaleSheetLayoutView="85" zoomScalePageLayoutView="0" workbookViewId="0" topLeftCell="A18">
      <selection activeCell="F15" sqref="F15"/>
    </sheetView>
  </sheetViews>
  <sheetFormatPr defaultColWidth="9.00390625" defaultRowHeight="15.75"/>
  <cols>
    <col min="1" max="1" width="4.25390625" style="424" customWidth="1"/>
    <col min="2" max="2" width="46.875" style="424" customWidth="1"/>
    <col min="3" max="3" width="39.50390625" style="424" customWidth="1"/>
    <col min="4" max="4" width="0.875" style="424" customWidth="1"/>
    <col min="5" max="5" width="1.75390625" style="727" hidden="1" customWidth="1"/>
    <col min="6" max="16384" width="9.00390625" style="424" customWidth="1"/>
  </cols>
  <sheetData>
    <row r="1" spans="1:5" s="438" customFormat="1" ht="36" customHeight="1">
      <c r="A1" s="1487" t="s">
        <v>205</v>
      </c>
      <c r="B1" s="1488"/>
      <c r="C1" s="1488"/>
      <c r="E1" s="719"/>
    </row>
    <row r="2" spans="1:5" s="446" customFormat="1" ht="21.75" customHeight="1">
      <c r="A2" s="1499" t="s">
        <v>70</v>
      </c>
      <c r="B2" s="1500"/>
      <c r="C2" s="465" t="s">
        <v>342</v>
      </c>
      <c r="E2" s="721"/>
    </row>
    <row r="3" spans="1:5" s="446" customFormat="1" ht="24.75" customHeight="1">
      <c r="A3" s="1501" t="s">
        <v>6</v>
      </c>
      <c r="B3" s="1502"/>
      <c r="C3" s="19">
        <v>1</v>
      </c>
      <c r="E3" s="721"/>
    </row>
    <row r="4" spans="1:5" s="682" customFormat="1" ht="21" customHeight="1">
      <c r="A4" s="660" t="s">
        <v>52</v>
      </c>
      <c r="B4" s="661" t="s">
        <v>569</v>
      </c>
      <c r="C4" s="662">
        <f>SUM(C5:C8)</f>
        <v>69435</v>
      </c>
      <c r="D4" s="687"/>
      <c r="E4" s="730"/>
    </row>
    <row r="5" spans="1:5" s="26" customFormat="1" ht="21" customHeight="1">
      <c r="A5" s="448" t="s">
        <v>54</v>
      </c>
      <c r="B5" s="518" t="s">
        <v>153</v>
      </c>
      <c r="C5" s="666">
        <v>18206</v>
      </c>
      <c r="D5" s="658"/>
      <c r="E5" s="723"/>
    </row>
    <row r="6" spans="1:5" s="26" customFormat="1" ht="21" customHeight="1">
      <c r="A6" s="448" t="s">
        <v>55</v>
      </c>
      <c r="B6" s="518" t="s">
        <v>154</v>
      </c>
      <c r="C6" s="666">
        <v>0</v>
      </c>
      <c r="E6" s="723"/>
    </row>
    <row r="7" spans="1:5" s="26" customFormat="1" ht="21" customHeight="1">
      <c r="A7" s="448" t="s">
        <v>141</v>
      </c>
      <c r="B7" s="518" t="s">
        <v>155</v>
      </c>
      <c r="C7" s="666">
        <v>51229</v>
      </c>
      <c r="E7" s="723"/>
    </row>
    <row r="8" spans="1:5" s="26" customFormat="1" ht="21" customHeight="1">
      <c r="A8" s="448" t="s">
        <v>143</v>
      </c>
      <c r="B8" s="518" t="s">
        <v>156</v>
      </c>
      <c r="C8" s="666">
        <v>0</v>
      </c>
      <c r="E8" s="723"/>
    </row>
    <row r="9" spans="1:5" s="26" customFormat="1" ht="21" customHeight="1">
      <c r="A9" s="448" t="s">
        <v>145</v>
      </c>
      <c r="B9" s="518" t="s">
        <v>157</v>
      </c>
      <c r="C9" s="666">
        <v>0</v>
      </c>
      <c r="E9" s="723"/>
    </row>
    <row r="10" spans="1:5" s="26" customFormat="1" ht="21" customHeight="1">
      <c r="A10" s="448" t="s">
        <v>147</v>
      </c>
      <c r="B10" s="518" t="s">
        <v>158</v>
      </c>
      <c r="C10" s="666">
        <v>0</v>
      </c>
      <c r="E10" s="723"/>
    </row>
    <row r="11" spans="1:5" s="26" customFormat="1" ht="21" customHeight="1">
      <c r="A11" s="448" t="s">
        <v>149</v>
      </c>
      <c r="B11" s="518" t="s">
        <v>160</v>
      </c>
      <c r="C11" s="409"/>
      <c r="E11" s="723"/>
    </row>
    <row r="12" spans="1:5" s="664" customFormat="1" ht="21" customHeight="1">
      <c r="A12" s="660" t="s">
        <v>53</v>
      </c>
      <c r="B12" s="661" t="s">
        <v>565</v>
      </c>
      <c r="C12" s="662">
        <f>SUM(C13:C14)</f>
        <v>293793</v>
      </c>
      <c r="E12" s="725"/>
    </row>
    <row r="13" spans="1:5" s="26" customFormat="1" ht="21" customHeight="1">
      <c r="A13" s="447" t="s">
        <v>56</v>
      </c>
      <c r="B13" s="518" t="s">
        <v>159</v>
      </c>
      <c r="C13" s="666">
        <v>262974</v>
      </c>
      <c r="E13" s="723"/>
    </row>
    <row r="14" spans="1:3" ht="21" customHeight="1">
      <c r="A14" s="448" t="s">
        <v>57</v>
      </c>
      <c r="B14" s="518" t="s">
        <v>160</v>
      </c>
      <c r="C14" s="409">
        <v>30819</v>
      </c>
    </row>
    <row r="15" spans="1:5" s="682" customFormat="1" ht="21" customHeight="1">
      <c r="A15" s="660" t="s">
        <v>58</v>
      </c>
      <c r="B15" s="683" t="s">
        <v>150</v>
      </c>
      <c r="C15" s="662">
        <f>SUM(C16:C18)</f>
        <v>118310</v>
      </c>
      <c r="E15" s="730"/>
    </row>
    <row r="16" spans="1:3" ht="21" customHeight="1">
      <c r="A16" s="448" t="s">
        <v>161</v>
      </c>
      <c r="B16" s="518" t="s">
        <v>189</v>
      </c>
      <c r="C16" s="666">
        <v>12000</v>
      </c>
    </row>
    <row r="17" spans="1:5" s="26" customFormat="1" ht="30">
      <c r="A17" s="448" t="s">
        <v>163</v>
      </c>
      <c r="B17" s="518" t="s">
        <v>164</v>
      </c>
      <c r="C17" s="666">
        <v>106310</v>
      </c>
      <c r="E17" s="723"/>
    </row>
    <row r="18" spans="1:5" s="26" customFormat="1" ht="21" customHeight="1">
      <c r="A18" s="448" t="s">
        <v>165</v>
      </c>
      <c r="B18" s="518" t="s">
        <v>166</v>
      </c>
      <c r="C18" s="666">
        <v>0</v>
      </c>
      <c r="E18" s="723"/>
    </row>
    <row r="19" spans="1:5" s="665" customFormat="1" ht="21" customHeight="1">
      <c r="A19" s="660" t="s">
        <v>73</v>
      </c>
      <c r="B19" s="661" t="s">
        <v>570</v>
      </c>
      <c r="C19" s="662">
        <f>SUM(C20:C25)</f>
        <v>1074331</v>
      </c>
      <c r="E19" s="686">
        <f>1074331-C19</f>
        <v>0</v>
      </c>
    </row>
    <row r="20" spans="1:5" s="26" customFormat="1" ht="21" customHeight="1">
      <c r="A20" s="448" t="s">
        <v>167</v>
      </c>
      <c r="B20" s="518" t="s">
        <v>168</v>
      </c>
      <c r="C20" s="666">
        <v>556221</v>
      </c>
      <c r="E20" s="723"/>
    </row>
    <row r="21" spans="1:5" s="26" customFormat="1" ht="21" customHeight="1">
      <c r="A21" s="448" t="s">
        <v>169</v>
      </c>
      <c r="B21" s="518" t="s">
        <v>170</v>
      </c>
      <c r="C21" s="666">
        <v>0</v>
      </c>
      <c r="E21" s="723"/>
    </row>
    <row r="22" spans="1:5" s="26" customFormat="1" ht="21" customHeight="1">
      <c r="A22" s="448" t="s">
        <v>171</v>
      </c>
      <c r="B22" s="518" t="s">
        <v>172</v>
      </c>
      <c r="C22" s="666">
        <v>138770</v>
      </c>
      <c r="E22" s="723"/>
    </row>
    <row r="23" spans="1:5" s="26" customFormat="1" ht="21" customHeight="1">
      <c r="A23" s="448" t="s">
        <v>173</v>
      </c>
      <c r="B23" s="518" t="s">
        <v>156</v>
      </c>
      <c r="C23" s="666">
        <v>0</v>
      </c>
      <c r="E23" s="723"/>
    </row>
    <row r="24" spans="1:5" s="26" customFormat="1" ht="21" customHeight="1">
      <c r="A24" s="448" t="s">
        <v>174</v>
      </c>
      <c r="B24" s="518" t="s">
        <v>204</v>
      </c>
      <c r="C24" s="666">
        <v>379340</v>
      </c>
      <c r="E24" s="723"/>
    </row>
    <row r="25" spans="1:5" s="26" customFormat="1" ht="21" customHeight="1">
      <c r="A25" s="448" t="s">
        <v>175</v>
      </c>
      <c r="B25" s="518" t="s">
        <v>176</v>
      </c>
      <c r="C25" s="666">
        <v>0</v>
      </c>
      <c r="E25" s="723"/>
    </row>
    <row r="26" spans="1:5" s="665" customFormat="1" ht="21" customHeight="1">
      <c r="A26" s="660" t="s">
        <v>74</v>
      </c>
      <c r="B26" s="661" t="s">
        <v>568</v>
      </c>
      <c r="C26" s="662">
        <f>SUM(C27:C29)</f>
        <v>117828902</v>
      </c>
      <c r="D26" s="686"/>
      <c r="E26" s="686"/>
    </row>
    <row r="27" spans="1:5" s="26" customFormat="1" ht="21" customHeight="1">
      <c r="A27" s="448" t="s">
        <v>177</v>
      </c>
      <c r="B27" s="518" t="s">
        <v>168</v>
      </c>
      <c r="C27" s="666">
        <f>84231767+835136</f>
        <v>85066903</v>
      </c>
      <c r="E27" s="723"/>
    </row>
    <row r="28" spans="1:3" ht="21" customHeight="1">
      <c r="A28" s="448" t="s">
        <v>178</v>
      </c>
      <c r="B28" s="518" t="s">
        <v>170</v>
      </c>
      <c r="C28" s="666">
        <v>3200</v>
      </c>
    </row>
    <row r="29" spans="1:5" s="26" customFormat="1" ht="21" customHeight="1">
      <c r="A29" s="448" t="s">
        <v>179</v>
      </c>
      <c r="B29" s="518" t="s">
        <v>180</v>
      </c>
      <c r="C29" s="666">
        <v>32758799</v>
      </c>
      <c r="E29" s="723"/>
    </row>
    <row r="30" spans="1:5" s="446" customFormat="1" ht="27" customHeight="1">
      <c r="A30" s="1498"/>
      <c r="B30" s="1498"/>
      <c r="C30" s="530" t="str">
        <f>'Thong tin'!B8</f>
        <v>Hải Phòng, ngày 03 tháng 8 năm 2017</v>
      </c>
      <c r="E30" s="721"/>
    </row>
    <row r="31" spans="1:5" s="446" customFormat="1" ht="15.75" customHeight="1">
      <c r="A31" s="1485" t="s">
        <v>181</v>
      </c>
      <c r="B31" s="1485"/>
      <c r="C31" s="520" t="str">
        <f>'Thong tin'!B7</f>
        <v>
PHÓ CỤC TRƯỞNG</v>
      </c>
      <c r="E31" s="721"/>
    </row>
    <row r="32" spans="1:5" s="469" customFormat="1" ht="18.75">
      <c r="A32" s="531"/>
      <c r="B32" s="532"/>
      <c r="C32" s="533"/>
      <c r="E32" s="721"/>
    </row>
    <row r="33" spans="1:5" s="446" customFormat="1" ht="15.75" customHeight="1">
      <c r="A33" s="531"/>
      <c r="B33" s="534"/>
      <c r="C33" s="531"/>
      <c r="E33" s="721"/>
    </row>
    <row r="34" spans="1:5" s="446" customFormat="1" ht="15.75" customHeight="1">
      <c r="A34" s="531"/>
      <c r="B34" s="534"/>
      <c r="C34" s="531"/>
      <c r="E34" s="721"/>
    </row>
    <row r="35" spans="1:5" s="446" customFormat="1" ht="15.75" customHeight="1">
      <c r="A35" s="531"/>
      <c r="B35" s="535"/>
      <c r="C35" s="533"/>
      <c r="E35" s="721"/>
    </row>
    <row r="36" spans="1:5" s="446" customFormat="1" ht="15.75" customHeight="1">
      <c r="A36" s="531"/>
      <c r="B36" s="534"/>
      <c r="C36" s="531"/>
      <c r="E36" s="721"/>
    </row>
    <row r="37" spans="1:5" s="446" customFormat="1" ht="18.75" hidden="1">
      <c r="A37" s="536" t="s">
        <v>47</v>
      </c>
      <c r="B37" s="537"/>
      <c r="C37" s="537"/>
      <c r="E37" s="721"/>
    </row>
    <row r="38" spans="1:5" s="446" customFormat="1" ht="18.75" hidden="1">
      <c r="A38" s="531"/>
      <c r="B38" s="531" t="s">
        <v>50</v>
      </c>
      <c r="C38" s="531"/>
      <c r="E38" s="721"/>
    </row>
    <row r="39" spans="1:5" s="446" customFormat="1" ht="18.75" hidden="1">
      <c r="A39" s="531"/>
      <c r="B39" s="531" t="s">
        <v>64</v>
      </c>
      <c r="C39" s="531"/>
      <c r="E39" s="721"/>
    </row>
    <row r="40" spans="1:5" s="446" customFormat="1" ht="18.75" hidden="1">
      <c r="A40" s="531"/>
      <c r="B40" s="531" t="s">
        <v>62</v>
      </c>
      <c r="C40" s="531"/>
      <c r="E40" s="721"/>
    </row>
    <row r="41" spans="1:5" s="446" customFormat="1" ht="18.75" hidden="1">
      <c r="A41" s="531"/>
      <c r="B41" s="531" t="s">
        <v>65</v>
      </c>
      <c r="C41" s="531"/>
      <c r="E41" s="721"/>
    </row>
    <row r="42" spans="1:5" s="446" customFormat="1" ht="18.75">
      <c r="A42" s="531"/>
      <c r="B42" s="531"/>
      <c r="C42" s="531"/>
      <c r="E42" s="721"/>
    </row>
    <row r="43" spans="1:5" s="446" customFormat="1" ht="18.75">
      <c r="A43" s="1485" t="str">
        <f>'Thong tin'!B5</f>
        <v>Trần Thị Minh</v>
      </c>
      <c r="B43" s="1485"/>
      <c r="C43" s="528" t="str">
        <f>'Thong tin'!B6</f>
        <v>Nguyễn Thị Mai Hoa</v>
      </c>
      <c r="E43" s="721"/>
    </row>
  </sheetData>
  <sheetProtection/>
  <mergeCells count="6">
    <mergeCell ref="A30:B30"/>
    <mergeCell ref="A31:B31"/>
    <mergeCell ref="A43:B43"/>
    <mergeCell ref="A1:C1"/>
    <mergeCell ref="A2:B2"/>
    <mergeCell ref="A3:B3"/>
  </mergeCells>
  <printOptions/>
  <pageMargins left="0.37" right="0.25" top="0.24" bottom="0.25" header="0.5" footer="0.5"/>
  <pageSetup horizontalDpi="600" verticalDpi="600" orientation="portrait" paperSize="9" r:id="rId2"/>
  <ignoredErrors>
    <ignoredError sqref="C4" formulaRange="1"/>
  </ignoredErrors>
  <drawing r:id="rId1"/>
</worksheet>
</file>

<file path=xl/worksheets/sheet19.xml><?xml version="1.0" encoding="utf-8"?>
<worksheet xmlns="http://schemas.openxmlformats.org/spreadsheetml/2006/main" xmlns:r="http://schemas.openxmlformats.org/officeDocument/2006/relationships">
  <sheetPr>
    <tabColor indexed="48"/>
  </sheetPr>
  <dimension ref="A1:Q26"/>
  <sheetViews>
    <sheetView showZeros="0" view="pageBreakPreview" zoomScale="85" zoomScaleNormal="85" zoomScaleSheetLayoutView="85" zoomScalePageLayoutView="0" workbookViewId="0" topLeftCell="A7">
      <selection activeCell="J18" sqref="J18"/>
    </sheetView>
  </sheetViews>
  <sheetFormatPr defaultColWidth="9.00390625" defaultRowHeight="15.75"/>
  <cols>
    <col min="1" max="1" width="3.625" style="438" customWidth="1"/>
    <col min="2" max="2" width="22.50390625" style="388" customWidth="1"/>
    <col min="3" max="3" width="11.75390625" style="388" customWidth="1"/>
    <col min="4" max="4" width="10.50390625" style="388" customWidth="1"/>
    <col min="5" max="5" width="10.875" style="388" customWidth="1"/>
    <col min="6" max="6" width="7.25390625" style="388" customWidth="1"/>
    <col min="7" max="7" width="10.25390625" style="388" customWidth="1"/>
    <col min="8" max="8" width="5.25390625" style="388" customWidth="1"/>
    <col min="9" max="9" width="9.875" style="388" customWidth="1"/>
    <col min="10" max="10" width="12.125" style="388" customWidth="1"/>
    <col min="11" max="11" width="8.75390625" style="388" customWidth="1"/>
    <col min="12" max="12" width="4.75390625" style="388" customWidth="1"/>
    <col min="13" max="13" width="7.125" style="388" customWidth="1"/>
    <col min="14" max="14" width="5.875" style="388" customWidth="1"/>
    <col min="15" max="15" width="4.50390625" style="388" customWidth="1"/>
    <col min="16" max="16384" width="9.00390625" style="388" customWidth="1"/>
  </cols>
  <sheetData>
    <row r="1" spans="1:17" ht="24.75" customHeight="1">
      <c r="A1" s="1443" t="s">
        <v>32</v>
      </c>
      <c r="B1" s="1443"/>
      <c r="C1" s="416"/>
      <c r="D1" s="1444" t="s">
        <v>194</v>
      </c>
      <c r="E1" s="1444"/>
      <c r="F1" s="1444"/>
      <c r="G1" s="1444"/>
      <c r="H1" s="1444"/>
      <c r="I1" s="1444"/>
      <c r="J1" s="1444"/>
      <c r="K1" s="1444"/>
      <c r="L1" s="1445" t="s">
        <v>557</v>
      </c>
      <c r="M1" s="1445"/>
      <c r="N1" s="1445"/>
      <c r="O1" s="1445"/>
      <c r="P1" s="415"/>
      <c r="Q1" s="415"/>
    </row>
    <row r="2" spans="1:17" ht="16.5" customHeight="1">
      <c r="A2" s="1495" t="s">
        <v>344</v>
      </c>
      <c r="B2" s="1495"/>
      <c r="C2" s="1495"/>
      <c r="D2" s="1444" t="s">
        <v>183</v>
      </c>
      <c r="E2" s="1444"/>
      <c r="F2" s="1444"/>
      <c r="G2" s="1444"/>
      <c r="H2" s="1444"/>
      <c r="I2" s="1444"/>
      <c r="J2" s="1444"/>
      <c r="K2" s="1444"/>
      <c r="L2" s="1446" t="str">
        <f>'Thong tin'!B4</f>
        <v>CTHADS Hải Phòng</v>
      </c>
      <c r="M2" s="1446"/>
      <c r="N2" s="1446"/>
      <c r="O2" s="1446"/>
      <c r="P2" s="415"/>
      <c r="Q2" s="425"/>
    </row>
    <row r="3" spans="1:17" ht="16.5" customHeight="1">
      <c r="A3" s="1495" t="s">
        <v>345</v>
      </c>
      <c r="B3" s="1495"/>
      <c r="C3" s="415"/>
      <c r="D3" s="1450" t="str">
        <f>'Thong tin'!B3</f>
        <v>10 tháng / năm 2017</v>
      </c>
      <c r="E3" s="1450"/>
      <c r="F3" s="1450"/>
      <c r="G3" s="1450"/>
      <c r="H3" s="1450"/>
      <c r="I3" s="1450"/>
      <c r="J3" s="1450"/>
      <c r="K3" s="1450"/>
      <c r="L3" s="1445" t="s">
        <v>523</v>
      </c>
      <c r="M3" s="1445"/>
      <c r="N3" s="1445"/>
      <c r="O3" s="1445"/>
      <c r="P3" s="415"/>
      <c r="Q3" s="457"/>
    </row>
    <row r="4" spans="1:17" ht="16.5" customHeight="1">
      <c r="A4" s="419" t="s">
        <v>119</v>
      </c>
      <c r="B4" s="420"/>
      <c r="C4" s="421"/>
      <c r="D4" s="422"/>
      <c r="E4" s="422"/>
      <c r="F4" s="421"/>
      <c r="G4" s="423"/>
      <c r="H4" s="423"/>
      <c r="I4" s="423"/>
      <c r="J4" s="421"/>
      <c r="K4" s="422"/>
      <c r="L4" s="1446" t="s">
        <v>412</v>
      </c>
      <c r="M4" s="1446"/>
      <c r="N4" s="1446"/>
      <c r="O4" s="1446"/>
      <c r="P4" s="415"/>
      <c r="Q4" s="457"/>
    </row>
    <row r="5" spans="1:17" ht="16.5" customHeight="1">
      <c r="A5" s="424"/>
      <c r="B5" s="421"/>
      <c r="C5" s="421"/>
      <c r="D5" s="421"/>
      <c r="E5" s="421"/>
      <c r="F5" s="425"/>
      <c r="G5" s="426"/>
      <c r="H5" s="426"/>
      <c r="I5" s="426"/>
      <c r="J5" s="425"/>
      <c r="K5" s="427"/>
      <c r="L5" s="427"/>
      <c r="M5" s="427" t="s">
        <v>195</v>
      </c>
      <c r="N5" s="470"/>
      <c r="O5" s="415"/>
      <c r="P5" s="415"/>
      <c r="Q5" s="457"/>
    </row>
    <row r="6" spans="1:17" ht="18.75" customHeight="1">
      <c r="A6" s="1457" t="s">
        <v>69</v>
      </c>
      <c r="B6" s="1458"/>
      <c r="C6" s="1463" t="s">
        <v>38</v>
      </c>
      <c r="D6" s="1463" t="s">
        <v>337</v>
      </c>
      <c r="E6" s="1465"/>
      <c r="F6" s="1465"/>
      <c r="G6" s="1465"/>
      <c r="H6" s="1465"/>
      <c r="I6" s="1465"/>
      <c r="J6" s="1465"/>
      <c r="K6" s="1465"/>
      <c r="L6" s="1465"/>
      <c r="M6" s="1465"/>
      <c r="N6" s="1465"/>
      <c r="O6" s="1466"/>
      <c r="P6" s="454"/>
      <c r="Q6" s="459"/>
    </row>
    <row r="7" spans="1:17" ht="20.25" customHeight="1">
      <c r="A7" s="1459"/>
      <c r="B7" s="1460"/>
      <c r="C7" s="1464"/>
      <c r="D7" s="1467" t="s">
        <v>120</v>
      </c>
      <c r="E7" s="1469" t="s">
        <v>121</v>
      </c>
      <c r="F7" s="1470"/>
      <c r="G7" s="1471"/>
      <c r="H7" s="1448" t="s">
        <v>122</v>
      </c>
      <c r="I7" s="1448" t="s">
        <v>123</v>
      </c>
      <c r="J7" s="1448" t="s">
        <v>199</v>
      </c>
      <c r="K7" s="1448" t="s">
        <v>125</v>
      </c>
      <c r="L7" s="1448" t="s">
        <v>126</v>
      </c>
      <c r="M7" s="1448" t="s">
        <v>127</v>
      </c>
      <c r="N7" s="1448" t="s">
        <v>184</v>
      </c>
      <c r="O7" s="1448" t="s">
        <v>128</v>
      </c>
      <c r="P7" s="457"/>
      <c r="Q7" s="457"/>
    </row>
    <row r="8" spans="1:17" ht="21.75" customHeight="1">
      <c r="A8" s="1459"/>
      <c r="B8" s="1460"/>
      <c r="C8" s="1464"/>
      <c r="D8" s="1467"/>
      <c r="E8" s="1456" t="s">
        <v>37</v>
      </c>
      <c r="F8" s="1452" t="s">
        <v>7</v>
      </c>
      <c r="G8" s="1453"/>
      <c r="H8" s="1448"/>
      <c r="I8" s="1448"/>
      <c r="J8" s="1448"/>
      <c r="K8" s="1448"/>
      <c r="L8" s="1448"/>
      <c r="M8" s="1448"/>
      <c r="N8" s="1448"/>
      <c r="O8" s="1448"/>
      <c r="P8" s="1503"/>
      <c r="Q8" s="1503"/>
    </row>
    <row r="9" spans="1:17" ht="47.25" customHeight="1">
      <c r="A9" s="1461"/>
      <c r="B9" s="1462"/>
      <c r="C9" s="1464"/>
      <c r="D9" s="1468"/>
      <c r="E9" s="1449"/>
      <c r="F9" s="548" t="s">
        <v>200</v>
      </c>
      <c r="G9" s="549" t="s">
        <v>201</v>
      </c>
      <c r="H9" s="1449"/>
      <c r="I9" s="1449"/>
      <c r="J9" s="1449"/>
      <c r="K9" s="1449"/>
      <c r="L9" s="1449"/>
      <c r="M9" s="1449"/>
      <c r="N9" s="1449"/>
      <c r="O9" s="1449"/>
      <c r="P9" s="460"/>
      <c r="Q9" s="460"/>
    </row>
    <row r="10" spans="1:17" s="393" customFormat="1" ht="22.5" customHeight="1">
      <c r="A10" s="1454" t="s">
        <v>40</v>
      </c>
      <c r="B10" s="1455"/>
      <c r="C10" s="502">
        <v>1</v>
      </c>
      <c r="D10" s="502">
        <v>2</v>
      </c>
      <c r="E10" s="502">
        <v>3</v>
      </c>
      <c r="F10" s="502">
        <v>4</v>
      </c>
      <c r="G10" s="502">
        <v>5</v>
      </c>
      <c r="H10" s="502">
        <v>6</v>
      </c>
      <c r="I10" s="502">
        <v>7</v>
      </c>
      <c r="J10" s="502">
        <v>8</v>
      </c>
      <c r="K10" s="502">
        <v>9</v>
      </c>
      <c r="L10" s="502">
        <v>10</v>
      </c>
      <c r="M10" s="502">
        <v>11</v>
      </c>
      <c r="N10" s="502">
        <v>12</v>
      </c>
      <c r="O10" s="502">
        <v>13</v>
      </c>
      <c r="P10" s="471"/>
      <c r="Q10" s="471"/>
    </row>
    <row r="11" spans="1:17" ht="21" customHeight="1">
      <c r="A11" s="503" t="s">
        <v>0</v>
      </c>
      <c r="B11" s="429" t="s">
        <v>131</v>
      </c>
      <c r="C11" s="1897">
        <v>4167378289</v>
      </c>
      <c r="D11" s="1897">
        <v>351624660</v>
      </c>
      <c r="E11" s="1897">
        <v>344171316</v>
      </c>
      <c r="F11" s="1897">
        <v>180000</v>
      </c>
      <c r="G11" s="1897">
        <v>343991316</v>
      </c>
      <c r="H11" s="1897">
        <v>0</v>
      </c>
      <c r="I11" s="1897">
        <v>61754997</v>
      </c>
      <c r="J11" s="1897">
        <v>3406482091</v>
      </c>
      <c r="K11" s="1897">
        <v>2695630</v>
      </c>
      <c r="L11" s="1897">
        <v>0</v>
      </c>
      <c r="M11" s="1897">
        <v>649595</v>
      </c>
      <c r="N11" s="1897">
        <v>0</v>
      </c>
      <c r="O11" s="1898">
        <v>0</v>
      </c>
      <c r="P11" s="459"/>
      <c r="Q11" s="459"/>
    </row>
    <row r="12" spans="1:17" ht="21" customHeight="1">
      <c r="A12" s="504">
        <v>1</v>
      </c>
      <c r="B12" s="432" t="s">
        <v>132</v>
      </c>
      <c r="C12" s="1897">
        <v>3229665563</v>
      </c>
      <c r="D12" s="1899">
        <v>242361203</v>
      </c>
      <c r="E12" s="1899">
        <v>331937626</v>
      </c>
      <c r="F12" s="1899">
        <v>0</v>
      </c>
      <c r="G12" s="1899">
        <v>331937626</v>
      </c>
      <c r="H12" s="1899">
        <v>0</v>
      </c>
      <c r="I12" s="1899">
        <v>58691099</v>
      </c>
      <c r="J12" s="1899">
        <v>2595862793</v>
      </c>
      <c r="K12" s="1899">
        <v>163247</v>
      </c>
      <c r="L12" s="1899">
        <v>0</v>
      </c>
      <c r="M12" s="1899">
        <v>649595</v>
      </c>
      <c r="N12" s="1899">
        <v>0</v>
      </c>
      <c r="O12" s="1900">
        <v>0</v>
      </c>
      <c r="P12" s="457"/>
      <c r="Q12" s="457"/>
    </row>
    <row r="13" spans="1:17" ht="21" customHeight="1">
      <c r="A13" s="504">
        <v>2</v>
      </c>
      <c r="B13" s="432" t="s">
        <v>133</v>
      </c>
      <c r="C13" s="1897">
        <v>937712726</v>
      </c>
      <c r="D13" s="1899">
        <v>109263457</v>
      </c>
      <c r="E13" s="1899">
        <v>12233690</v>
      </c>
      <c r="F13" s="1899">
        <v>180000</v>
      </c>
      <c r="G13" s="1899">
        <v>12053690</v>
      </c>
      <c r="H13" s="1899">
        <v>0</v>
      </c>
      <c r="I13" s="1899">
        <v>3063898</v>
      </c>
      <c r="J13" s="1899">
        <v>810619298</v>
      </c>
      <c r="K13" s="1899">
        <v>2532383</v>
      </c>
      <c r="L13" s="1899">
        <v>0</v>
      </c>
      <c r="M13" s="1899">
        <v>0</v>
      </c>
      <c r="N13" s="1899">
        <v>0</v>
      </c>
      <c r="O13" s="1900">
        <v>0</v>
      </c>
      <c r="P13" s="457"/>
      <c r="Q13" s="457"/>
    </row>
    <row r="14" spans="1:17" ht="21" customHeight="1">
      <c r="A14" s="505" t="s">
        <v>1</v>
      </c>
      <c r="B14" s="395" t="s">
        <v>134</v>
      </c>
      <c r="C14" s="1897">
        <v>317236902</v>
      </c>
      <c r="D14" s="1899">
        <v>4214249</v>
      </c>
      <c r="E14" s="1899">
        <v>237459775</v>
      </c>
      <c r="F14" s="1899">
        <v>0</v>
      </c>
      <c r="G14" s="1899">
        <v>237459775</v>
      </c>
      <c r="H14" s="1899">
        <v>0</v>
      </c>
      <c r="I14" s="1899">
        <v>52000</v>
      </c>
      <c r="J14" s="1899">
        <v>75382551</v>
      </c>
      <c r="K14" s="1899">
        <v>128327</v>
      </c>
      <c r="L14" s="1899">
        <v>0</v>
      </c>
      <c r="M14" s="1899">
        <v>0</v>
      </c>
      <c r="N14" s="1899">
        <v>0</v>
      </c>
      <c r="O14" s="1900">
        <v>0</v>
      </c>
      <c r="P14" s="457"/>
      <c r="Q14" s="457"/>
    </row>
    <row r="15" spans="1:17" ht="21" customHeight="1">
      <c r="A15" s="505" t="s">
        <v>9</v>
      </c>
      <c r="B15" s="395" t="s">
        <v>135</v>
      </c>
      <c r="C15" s="1897">
        <v>41006732</v>
      </c>
      <c r="D15" s="1899">
        <v>1</v>
      </c>
      <c r="E15" s="1899">
        <v>0</v>
      </c>
      <c r="F15" s="1899">
        <v>0</v>
      </c>
      <c r="G15" s="1899">
        <v>0</v>
      </c>
      <c r="H15" s="1899">
        <v>0</v>
      </c>
      <c r="I15" s="1899">
        <v>0</v>
      </c>
      <c r="J15" s="1899">
        <v>41006731</v>
      </c>
      <c r="K15" s="1899">
        <v>0</v>
      </c>
      <c r="L15" s="1899">
        <v>0</v>
      </c>
      <c r="M15" s="1899">
        <v>0</v>
      </c>
      <c r="N15" s="1899">
        <v>0</v>
      </c>
      <c r="O15" s="1900">
        <v>0</v>
      </c>
      <c r="P15" s="457"/>
      <c r="Q15" s="457"/>
    </row>
    <row r="16" spans="1:17" ht="21" customHeight="1">
      <c r="A16" s="505" t="s">
        <v>136</v>
      </c>
      <c r="B16" s="395" t="s">
        <v>137</v>
      </c>
      <c r="C16" s="1897">
        <v>3850141387</v>
      </c>
      <c r="D16" s="1897">
        <v>347410411</v>
      </c>
      <c r="E16" s="1897">
        <v>106711541</v>
      </c>
      <c r="F16" s="1897">
        <v>180000</v>
      </c>
      <c r="G16" s="1897">
        <v>106531541</v>
      </c>
      <c r="H16" s="1897">
        <v>0</v>
      </c>
      <c r="I16" s="1897">
        <v>61702997</v>
      </c>
      <c r="J16" s="1897">
        <v>3331099540</v>
      </c>
      <c r="K16" s="1897">
        <v>2567303</v>
      </c>
      <c r="L16" s="1897">
        <v>0</v>
      </c>
      <c r="M16" s="1897">
        <v>649595</v>
      </c>
      <c r="N16" s="1897">
        <v>0</v>
      </c>
      <c r="O16" s="1898">
        <v>0</v>
      </c>
      <c r="P16" s="459"/>
      <c r="Q16" s="454"/>
    </row>
    <row r="17" spans="1:17" ht="21" customHeight="1">
      <c r="A17" s="505" t="s">
        <v>52</v>
      </c>
      <c r="B17" s="433" t="s">
        <v>138</v>
      </c>
      <c r="C17" s="1897">
        <v>2810857991</v>
      </c>
      <c r="D17" s="1897">
        <v>298591843</v>
      </c>
      <c r="E17" s="1897">
        <v>25763220</v>
      </c>
      <c r="F17" s="1897">
        <v>180000</v>
      </c>
      <c r="G17" s="1897">
        <v>25583220</v>
      </c>
      <c r="H17" s="1897">
        <v>0</v>
      </c>
      <c r="I17" s="1897">
        <v>54659013</v>
      </c>
      <c r="J17" s="1897">
        <v>2428627017</v>
      </c>
      <c r="K17" s="1897">
        <v>2567303</v>
      </c>
      <c r="L17" s="1897">
        <v>0</v>
      </c>
      <c r="M17" s="1897">
        <v>649595</v>
      </c>
      <c r="N17" s="1897">
        <v>0</v>
      </c>
      <c r="O17" s="1898">
        <v>0</v>
      </c>
      <c r="P17" s="459"/>
      <c r="Q17" s="454"/>
    </row>
    <row r="18" spans="1:17" ht="21" customHeight="1">
      <c r="A18" s="504" t="s">
        <v>54</v>
      </c>
      <c r="B18" s="432" t="s">
        <v>139</v>
      </c>
      <c r="C18" s="1897">
        <v>288504651</v>
      </c>
      <c r="D18" s="1901">
        <v>29074351</v>
      </c>
      <c r="E18" s="1899">
        <v>4973383</v>
      </c>
      <c r="F18" s="1901">
        <v>0</v>
      </c>
      <c r="G18" s="1901">
        <v>4973383</v>
      </c>
      <c r="H18" s="1901">
        <v>0</v>
      </c>
      <c r="I18" s="1901">
        <v>1161146</v>
      </c>
      <c r="J18" s="1901">
        <v>253020262</v>
      </c>
      <c r="K18" s="1901">
        <v>275509</v>
      </c>
      <c r="L18" s="1901">
        <v>0</v>
      </c>
      <c r="M18" s="1901">
        <v>0</v>
      </c>
      <c r="N18" s="1901">
        <v>0</v>
      </c>
      <c r="O18" s="1902">
        <v>0</v>
      </c>
      <c r="P18" s="457"/>
      <c r="Q18" s="415"/>
    </row>
    <row r="19" spans="1:17" ht="21" customHeight="1">
      <c r="A19" s="504" t="s">
        <v>55</v>
      </c>
      <c r="B19" s="432" t="s">
        <v>140</v>
      </c>
      <c r="C19" s="1897">
        <v>565924920</v>
      </c>
      <c r="D19" s="1901">
        <v>16614194</v>
      </c>
      <c r="E19" s="1899">
        <v>527732</v>
      </c>
      <c r="F19" s="1901">
        <v>180000</v>
      </c>
      <c r="G19" s="1901">
        <v>347732</v>
      </c>
      <c r="H19" s="1901">
        <v>0</v>
      </c>
      <c r="I19" s="1901">
        <v>3090416</v>
      </c>
      <c r="J19" s="1901">
        <v>545561113</v>
      </c>
      <c r="K19" s="1901">
        <v>131465</v>
      </c>
      <c r="L19" s="1901">
        <v>0</v>
      </c>
      <c r="M19" s="1901">
        <v>0</v>
      </c>
      <c r="N19" s="1901">
        <v>0</v>
      </c>
      <c r="O19" s="1902">
        <v>0</v>
      </c>
      <c r="P19" s="457"/>
      <c r="Q19" s="415"/>
    </row>
    <row r="20" spans="1:17" ht="21" customHeight="1">
      <c r="A20" s="504" t="s">
        <v>141</v>
      </c>
      <c r="B20" s="432" t="s">
        <v>142</v>
      </c>
      <c r="C20" s="1897">
        <v>1899054915</v>
      </c>
      <c r="D20" s="1901">
        <v>250932605</v>
      </c>
      <c r="E20" s="1899">
        <v>19566206</v>
      </c>
      <c r="F20" s="1901">
        <v>0</v>
      </c>
      <c r="G20" s="1901">
        <v>19566206</v>
      </c>
      <c r="H20" s="1901">
        <v>0</v>
      </c>
      <c r="I20" s="1901">
        <v>50357451</v>
      </c>
      <c r="J20" s="1901">
        <v>1575388729</v>
      </c>
      <c r="K20" s="1901">
        <v>2160329</v>
      </c>
      <c r="L20" s="1901">
        <v>0</v>
      </c>
      <c r="M20" s="1901">
        <v>649595</v>
      </c>
      <c r="N20" s="1901">
        <v>0</v>
      </c>
      <c r="O20" s="1902">
        <v>0</v>
      </c>
      <c r="P20" s="457"/>
      <c r="Q20" s="415"/>
    </row>
    <row r="21" spans="1:17" ht="21" customHeight="1">
      <c r="A21" s="504" t="s">
        <v>143</v>
      </c>
      <c r="B21" s="432" t="s">
        <v>144</v>
      </c>
      <c r="C21" s="1897">
        <v>15051918</v>
      </c>
      <c r="D21" s="1901">
        <v>171706</v>
      </c>
      <c r="E21" s="1899">
        <v>511425</v>
      </c>
      <c r="F21" s="1901">
        <v>0</v>
      </c>
      <c r="G21" s="1901">
        <v>511425</v>
      </c>
      <c r="H21" s="1901">
        <v>0</v>
      </c>
      <c r="I21" s="1901">
        <v>50000</v>
      </c>
      <c r="J21" s="1901">
        <v>14318787</v>
      </c>
      <c r="K21" s="1901">
        <v>0</v>
      </c>
      <c r="L21" s="1901">
        <v>0</v>
      </c>
      <c r="M21" s="1901">
        <v>0</v>
      </c>
      <c r="N21" s="1901">
        <v>0</v>
      </c>
      <c r="O21" s="1902">
        <v>0</v>
      </c>
      <c r="P21" s="457"/>
      <c r="Q21" s="415"/>
    </row>
    <row r="22" spans="1:17" ht="21" customHeight="1">
      <c r="A22" s="504" t="s">
        <v>145</v>
      </c>
      <c r="B22" s="432" t="s">
        <v>146</v>
      </c>
      <c r="C22" s="1897">
        <v>37265398</v>
      </c>
      <c r="D22" s="1901">
        <v>0</v>
      </c>
      <c r="E22" s="1899">
        <v>0</v>
      </c>
      <c r="F22" s="1901">
        <v>0</v>
      </c>
      <c r="G22" s="1901">
        <v>0</v>
      </c>
      <c r="H22" s="1901">
        <v>0</v>
      </c>
      <c r="I22" s="1901">
        <v>0</v>
      </c>
      <c r="J22" s="1901">
        <v>37265398</v>
      </c>
      <c r="K22" s="1901">
        <v>0</v>
      </c>
      <c r="L22" s="1901">
        <v>0</v>
      </c>
      <c r="M22" s="1901">
        <v>0</v>
      </c>
      <c r="N22" s="1901">
        <v>0</v>
      </c>
      <c r="O22" s="1902">
        <v>0</v>
      </c>
      <c r="P22" s="457"/>
      <c r="Q22" s="415"/>
    </row>
    <row r="23" spans="1:17" ht="25.5">
      <c r="A23" s="504" t="s">
        <v>147</v>
      </c>
      <c r="B23" s="434" t="s">
        <v>148</v>
      </c>
      <c r="C23" s="1897">
        <v>0</v>
      </c>
      <c r="D23" s="1901">
        <v>0</v>
      </c>
      <c r="E23" s="1899">
        <v>0</v>
      </c>
      <c r="F23" s="1901">
        <v>0</v>
      </c>
      <c r="G23" s="1901">
        <v>0</v>
      </c>
      <c r="H23" s="1901">
        <v>0</v>
      </c>
      <c r="I23" s="1901">
        <v>0</v>
      </c>
      <c r="J23" s="1901">
        <v>0</v>
      </c>
      <c r="K23" s="1901">
        <v>0</v>
      </c>
      <c r="L23" s="1901">
        <v>0</v>
      </c>
      <c r="M23" s="1901">
        <v>0</v>
      </c>
      <c r="N23" s="1901">
        <v>0</v>
      </c>
      <c r="O23" s="1902">
        <v>0</v>
      </c>
      <c r="P23" s="457"/>
      <c r="Q23" s="415"/>
    </row>
    <row r="24" spans="1:17" ht="21" customHeight="1">
      <c r="A24" s="504" t="s">
        <v>149</v>
      </c>
      <c r="B24" s="432" t="s">
        <v>150</v>
      </c>
      <c r="C24" s="1897">
        <v>5056189</v>
      </c>
      <c r="D24" s="1901">
        <v>1798987</v>
      </c>
      <c r="E24" s="1899">
        <v>184474</v>
      </c>
      <c r="F24" s="1901">
        <v>0</v>
      </c>
      <c r="G24" s="1901">
        <v>184474</v>
      </c>
      <c r="H24" s="1901">
        <v>0</v>
      </c>
      <c r="I24" s="1901">
        <v>0</v>
      </c>
      <c r="J24" s="1901">
        <v>3072728</v>
      </c>
      <c r="K24" s="1901">
        <v>0</v>
      </c>
      <c r="L24" s="1901">
        <v>0</v>
      </c>
      <c r="M24" s="1901">
        <v>0</v>
      </c>
      <c r="N24" s="1901">
        <v>0</v>
      </c>
      <c r="O24" s="1902">
        <v>0</v>
      </c>
      <c r="P24" s="457"/>
      <c r="Q24" s="415"/>
    </row>
    <row r="25" spans="1:17" ht="21" customHeight="1">
      <c r="A25" s="505" t="s">
        <v>53</v>
      </c>
      <c r="B25" s="395" t="s">
        <v>151</v>
      </c>
      <c r="C25" s="1897">
        <v>1039283396</v>
      </c>
      <c r="D25" s="1901">
        <v>48818568</v>
      </c>
      <c r="E25" s="1899">
        <v>80948321</v>
      </c>
      <c r="F25" s="1901">
        <v>0</v>
      </c>
      <c r="G25" s="1901">
        <v>80948321</v>
      </c>
      <c r="H25" s="1901">
        <v>0</v>
      </c>
      <c r="I25" s="1901">
        <v>7043984</v>
      </c>
      <c r="J25" s="1901">
        <v>902472523</v>
      </c>
      <c r="K25" s="1901">
        <v>0</v>
      </c>
      <c r="L25" s="1901">
        <v>0</v>
      </c>
      <c r="M25" s="1901">
        <v>0</v>
      </c>
      <c r="N25" s="1901">
        <v>0</v>
      </c>
      <c r="O25" s="1902">
        <v>0</v>
      </c>
      <c r="P25" s="457"/>
      <c r="Q25" s="415"/>
    </row>
    <row r="26" spans="1:17" ht="26.25">
      <c r="A26" s="529" t="s">
        <v>555</v>
      </c>
      <c r="B26" s="472" t="s">
        <v>152</v>
      </c>
      <c r="C26" s="706">
        <f>(C18+C19)/C17</f>
        <v>0.3039746489277551</v>
      </c>
      <c r="D26" s="706">
        <f aca="true" t="shared" si="0" ref="D26:O26">(D18+D19)/D17</f>
        <v>0.1530133728401951</v>
      </c>
      <c r="E26" s="706">
        <f t="shared" si="0"/>
        <v>0.2135259101929029</v>
      </c>
      <c r="F26" s="706">
        <f t="shared" si="0"/>
        <v>1</v>
      </c>
      <c r="G26" s="706">
        <f t="shared" si="0"/>
        <v>0.2079923871975459</v>
      </c>
      <c r="H26" s="706" t="e">
        <f t="shared" si="0"/>
        <v>#DIV/0!</v>
      </c>
      <c r="I26" s="706">
        <f t="shared" si="0"/>
        <v>0.07778336575525065</v>
      </c>
      <c r="J26" s="706">
        <f t="shared" si="0"/>
        <v>0.3288200985207108</v>
      </c>
      <c r="K26" s="706">
        <f t="shared" si="0"/>
        <v>0.15852199759825777</v>
      </c>
      <c r="L26" s="706" t="e">
        <f t="shared" si="0"/>
        <v>#DIV/0!</v>
      </c>
      <c r="M26" s="706">
        <f t="shared" si="0"/>
        <v>0</v>
      </c>
      <c r="N26" s="706" t="e">
        <f t="shared" si="0"/>
        <v>#DIV/0!</v>
      </c>
      <c r="O26" s="706" t="e">
        <f t="shared" si="0"/>
        <v>#DIV/0!</v>
      </c>
      <c r="P26" s="457"/>
      <c r="Q26" s="415"/>
    </row>
  </sheetData>
  <sheetProtection/>
  <mergeCells count="27">
    <mergeCell ref="O7:O9"/>
    <mergeCell ref="M7:M9"/>
    <mergeCell ref="P8:Q8"/>
    <mergeCell ref="A10:B10"/>
    <mergeCell ref="C6:C9"/>
    <mergeCell ref="D6:O6"/>
    <mergeCell ref="D7:D9"/>
    <mergeCell ref="E7:G7"/>
    <mergeCell ref="J7:J9"/>
    <mergeCell ref="K7:K9"/>
    <mergeCell ref="L7:L9"/>
    <mergeCell ref="D2:K2"/>
    <mergeCell ref="D3:K3"/>
    <mergeCell ref="A3:B3"/>
    <mergeCell ref="I7:I9"/>
    <mergeCell ref="E8:E9"/>
    <mergeCell ref="F8:G8"/>
    <mergeCell ref="L1:O1"/>
    <mergeCell ref="L2:O2"/>
    <mergeCell ref="L3:O3"/>
    <mergeCell ref="D1:K1"/>
    <mergeCell ref="A6:B9"/>
    <mergeCell ref="L4:O4"/>
    <mergeCell ref="N7:N9"/>
    <mergeCell ref="H7:H9"/>
    <mergeCell ref="A1:B1"/>
    <mergeCell ref="A2:C2"/>
  </mergeCells>
  <printOptions/>
  <pageMargins left="0.2" right="0" top="0.25" bottom="0" header="0.36" footer="0.27"/>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42" customWidth="1"/>
    <col min="2" max="2" width="22.125" style="42" customWidth="1"/>
    <col min="3" max="3" width="7.50390625" style="82" customWidth="1"/>
    <col min="4" max="4" width="12.375" style="82" customWidth="1"/>
    <col min="5" max="5" width="6.25390625" style="82" customWidth="1"/>
    <col min="6" max="6" width="12.625" style="82" customWidth="1"/>
    <col min="7" max="7" width="8.00390625" style="42" customWidth="1"/>
    <col min="8" max="8" width="11.25390625" style="42" customWidth="1"/>
    <col min="9" max="9" width="7.125" style="42" customWidth="1"/>
    <col min="10" max="10" width="11.25390625" style="42" customWidth="1"/>
    <col min="11" max="11" width="7.375" style="42" customWidth="1"/>
    <col min="12" max="12" width="10.50390625" style="42" customWidth="1"/>
    <col min="13" max="13" width="6.00390625" style="42" customWidth="1"/>
    <col min="14" max="14" width="10.875" style="42" customWidth="1"/>
    <col min="15" max="15" width="14.625" style="83" customWidth="1"/>
    <col min="16" max="16" width="13.00390625" style="83" customWidth="1"/>
    <col min="17"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6" ht="26.25" customHeight="1">
      <c r="A1" s="1180" t="s">
        <v>36</v>
      </c>
      <c r="B1" s="1180"/>
      <c r="C1" s="1180"/>
      <c r="D1" s="1180"/>
      <c r="E1" s="1179" t="s">
        <v>482</v>
      </c>
      <c r="F1" s="1179"/>
      <c r="G1" s="1179"/>
      <c r="H1" s="1179"/>
      <c r="I1" s="1179"/>
      <c r="J1" s="1179"/>
      <c r="K1" s="1179"/>
      <c r="L1" s="40" t="s">
        <v>458</v>
      </c>
      <c r="M1" s="40"/>
      <c r="N1" s="40"/>
      <c r="O1" s="41"/>
      <c r="P1" s="41"/>
    </row>
    <row r="2" spans="1:16" ht="15.75" customHeight="1">
      <c r="A2" s="1189" t="s">
        <v>344</v>
      </c>
      <c r="B2" s="1189"/>
      <c r="C2" s="1189"/>
      <c r="D2" s="1189"/>
      <c r="E2" s="1179"/>
      <c r="F2" s="1179"/>
      <c r="G2" s="1179"/>
      <c r="H2" s="1179"/>
      <c r="I2" s="1179"/>
      <c r="J2" s="1179"/>
      <c r="K2" s="1179"/>
      <c r="L2" s="1190" t="s">
        <v>361</v>
      </c>
      <c r="M2" s="1190"/>
      <c r="N2" s="1190"/>
      <c r="O2" s="44"/>
      <c r="P2" s="41"/>
    </row>
    <row r="3" spans="1:16" ht="18" customHeight="1">
      <c r="A3" s="1189" t="s">
        <v>345</v>
      </c>
      <c r="B3" s="1189"/>
      <c r="C3" s="1189"/>
      <c r="D3" s="1189"/>
      <c r="E3" s="1195" t="s">
        <v>478</v>
      </c>
      <c r="F3" s="1195"/>
      <c r="G3" s="1195"/>
      <c r="H3" s="1195"/>
      <c r="I3" s="1195"/>
      <c r="J3" s="1195"/>
      <c r="K3" s="45"/>
      <c r="L3" s="1191" t="s">
        <v>477</v>
      </c>
      <c r="M3" s="1191"/>
      <c r="N3" s="1191"/>
      <c r="O3" s="41"/>
      <c r="P3" s="41"/>
    </row>
    <row r="4" spans="1:16" ht="21" customHeight="1">
      <c r="A4" s="1194" t="s">
        <v>364</v>
      </c>
      <c r="B4" s="1194"/>
      <c r="C4" s="1194"/>
      <c r="D4" s="1194"/>
      <c r="E4" s="48"/>
      <c r="F4" s="49"/>
      <c r="G4" s="50"/>
      <c r="H4" s="50"/>
      <c r="I4" s="50"/>
      <c r="J4" s="50"/>
      <c r="K4" s="41"/>
      <c r="L4" s="1190" t="s">
        <v>356</v>
      </c>
      <c r="M4" s="1190"/>
      <c r="N4" s="1190"/>
      <c r="O4" s="44"/>
      <c r="P4" s="41"/>
    </row>
    <row r="5" spans="1:16" ht="18" customHeight="1">
      <c r="A5" s="50"/>
      <c r="B5" s="41"/>
      <c r="C5" s="51"/>
      <c r="D5" s="1192"/>
      <c r="E5" s="1192"/>
      <c r="F5" s="1192"/>
      <c r="G5" s="1192"/>
      <c r="H5" s="1192"/>
      <c r="I5" s="1192"/>
      <c r="J5" s="1192"/>
      <c r="K5" s="1192"/>
      <c r="L5" s="52" t="s">
        <v>365</v>
      </c>
      <c r="M5" s="52"/>
      <c r="N5" s="52"/>
      <c r="O5" s="41"/>
      <c r="P5" s="41"/>
    </row>
    <row r="6" spans="1:18" ht="33" customHeight="1">
      <c r="A6" s="1201" t="s">
        <v>72</v>
      </c>
      <c r="B6" s="1202"/>
      <c r="C6" s="1193" t="s">
        <v>366</v>
      </c>
      <c r="D6" s="1193"/>
      <c r="E6" s="1193"/>
      <c r="F6" s="1193"/>
      <c r="G6" s="1169" t="s">
        <v>7</v>
      </c>
      <c r="H6" s="1170"/>
      <c r="I6" s="1170"/>
      <c r="J6" s="1170"/>
      <c r="K6" s="1170"/>
      <c r="L6" s="1170"/>
      <c r="M6" s="1170"/>
      <c r="N6" s="1171"/>
      <c r="O6" s="1181" t="s">
        <v>367</v>
      </c>
      <c r="P6" s="1182"/>
      <c r="Q6" s="1182"/>
      <c r="R6" s="1183"/>
    </row>
    <row r="7" spans="1:18" ht="29.25" customHeight="1">
      <c r="A7" s="1203"/>
      <c r="B7" s="1204"/>
      <c r="C7" s="1193"/>
      <c r="D7" s="1193"/>
      <c r="E7" s="1193"/>
      <c r="F7" s="1193"/>
      <c r="G7" s="1169" t="s">
        <v>368</v>
      </c>
      <c r="H7" s="1170"/>
      <c r="I7" s="1170"/>
      <c r="J7" s="1171"/>
      <c r="K7" s="1169" t="s">
        <v>110</v>
      </c>
      <c r="L7" s="1170"/>
      <c r="M7" s="1170"/>
      <c r="N7" s="1171"/>
      <c r="O7" s="54" t="s">
        <v>369</v>
      </c>
      <c r="P7" s="54" t="s">
        <v>370</v>
      </c>
      <c r="Q7" s="1184" t="s">
        <v>371</v>
      </c>
      <c r="R7" s="1184" t="s">
        <v>372</v>
      </c>
    </row>
    <row r="8" spans="1:18" ht="26.25" customHeight="1">
      <c r="A8" s="1203"/>
      <c r="B8" s="1204"/>
      <c r="C8" s="1172" t="s">
        <v>107</v>
      </c>
      <c r="D8" s="1207"/>
      <c r="E8" s="1172" t="s">
        <v>106</v>
      </c>
      <c r="F8" s="1207"/>
      <c r="G8" s="1172" t="s">
        <v>108</v>
      </c>
      <c r="H8" s="1173"/>
      <c r="I8" s="1172" t="s">
        <v>109</v>
      </c>
      <c r="J8" s="1173"/>
      <c r="K8" s="1172" t="s">
        <v>111</v>
      </c>
      <c r="L8" s="1173"/>
      <c r="M8" s="1172" t="s">
        <v>112</v>
      </c>
      <c r="N8" s="1173"/>
      <c r="O8" s="1186" t="s">
        <v>373</v>
      </c>
      <c r="P8" s="1187" t="s">
        <v>374</v>
      </c>
      <c r="Q8" s="1184"/>
      <c r="R8" s="1184"/>
    </row>
    <row r="9" spans="1:18" ht="30.75" customHeight="1">
      <c r="A9" s="1203"/>
      <c r="B9" s="1204"/>
      <c r="C9" s="55" t="s">
        <v>3</v>
      </c>
      <c r="D9" s="53" t="s">
        <v>10</v>
      </c>
      <c r="E9" s="53" t="s">
        <v>3</v>
      </c>
      <c r="F9" s="53" t="s">
        <v>10</v>
      </c>
      <c r="G9" s="56" t="s">
        <v>3</v>
      </c>
      <c r="H9" s="56" t="s">
        <v>10</v>
      </c>
      <c r="I9" s="56" t="s">
        <v>3</v>
      </c>
      <c r="J9" s="56" t="s">
        <v>10</v>
      </c>
      <c r="K9" s="56" t="s">
        <v>3</v>
      </c>
      <c r="L9" s="56" t="s">
        <v>10</v>
      </c>
      <c r="M9" s="56" t="s">
        <v>3</v>
      </c>
      <c r="N9" s="56" t="s">
        <v>10</v>
      </c>
      <c r="O9" s="1186"/>
      <c r="P9" s="1188"/>
      <c r="Q9" s="1185"/>
      <c r="R9" s="1185"/>
    </row>
    <row r="10" spans="1:18" s="61" customFormat="1" ht="18" customHeight="1">
      <c r="A10" s="1200" t="s">
        <v>6</v>
      </c>
      <c r="B10" s="1200"/>
      <c r="C10" s="57">
        <v>1</v>
      </c>
      <c r="D10" s="57">
        <v>2</v>
      </c>
      <c r="E10" s="57">
        <v>3</v>
      </c>
      <c r="F10" s="57">
        <v>4</v>
      </c>
      <c r="G10" s="57">
        <v>5</v>
      </c>
      <c r="H10" s="57">
        <v>6</v>
      </c>
      <c r="I10" s="57">
        <v>7</v>
      </c>
      <c r="J10" s="57">
        <v>8</v>
      </c>
      <c r="K10" s="57">
        <v>9</v>
      </c>
      <c r="L10" s="57">
        <v>10</v>
      </c>
      <c r="M10" s="57">
        <v>11</v>
      </c>
      <c r="N10" s="57">
        <v>12</v>
      </c>
      <c r="O10" s="58" t="s">
        <v>104</v>
      </c>
      <c r="P10" s="58" t="s">
        <v>105</v>
      </c>
      <c r="Q10" s="59"/>
      <c r="R10" s="60"/>
    </row>
    <row r="11" spans="1:18" s="61" customFormat="1" ht="18" customHeight="1" hidden="1">
      <c r="A11" s="1196" t="s">
        <v>375</v>
      </c>
      <c r="B11" s="1197"/>
      <c r="C11" s="62">
        <f aca="true" t="shared" si="0" ref="C11:N11">C13-C12</f>
        <v>-5</v>
      </c>
      <c r="D11" s="62">
        <f t="shared" si="0"/>
        <v>30432</v>
      </c>
      <c r="E11" s="62">
        <f t="shared" si="0"/>
        <v>3</v>
      </c>
      <c r="F11" s="62">
        <f t="shared" si="0"/>
        <v>43892</v>
      </c>
      <c r="G11" s="62">
        <f t="shared" si="0"/>
        <v>5</v>
      </c>
      <c r="H11" s="62">
        <f t="shared" si="0"/>
        <v>40274</v>
      </c>
      <c r="I11" s="62">
        <f t="shared" si="0"/>
        <v>3</v>
      </c>
      <c r="J11" s="62">
        <f t="shared" si="0"/>
        <v>35774</v>
      </c>
      <c r="K11" s="62">
        <f t="shared" si="0"/>
        <v>-10</v>
      </c>
      <c r="L11" s="62">
        <f t="shared" si="0"/>
        <v>-9842</v>
      </c>
      <c r="M11" s="62">
        <f t="shared" si="0"/>
        <v>0</v>
      </c>
      <c r="N11" s="62">
        <f t="shared" si="0"/>
        <v>8118</v>
      </c>
      <c r="O11" s="58"/>
      <c r="P11" s="58"/>
      <c r="Q11" s="59"/>
      <c r="R11" s="60"/>
    </row>
    <row r="12" spans="1:18" s="61" customFormat="1" ht="18" customHeight="1" hidden="1">
      <c r="A12" s="1198" t="s">
        <v>479</v>
      </c>
      <c r="B12" s="1199"/>
      <c r="C12" s="63">
        <v>48</v>
      </c>
      <c r="D12" s="63">
        <v>218534</v>
      </c>
      <c r="E12" s="63">
        <v>32</v>
      </c>
      <c r="F12" s="63">
        <v>176714</v>
      </c>
      <c r="G12" s="63">
        <v>32</v>
      </c>
      <c r="H12" s="63">
        <v>105252</v>
      </c>
      <c r="I12" s="63">
        <v>32</v>
      </c>
      <c r="J12" s="63">
        <v>105252</v>
      </c>
      <c r="K12" s="63">
        <v>16</v>
      </c>
      <c r="L12" s="63">
        <v>113282</v>
      </c>
      <c r="M12" s="63">
        <v>0</v>
      </c>
      <c r="N12" s="63">
        <v>71462</v>
      </c>
      <c r="O12" s="64"/>
      <c r="P12" s="64"/>
      <c r="Q12" s="59"/>
      <c r="R12" s="60"/>
    </row>
    <row r="13" spans="1:32" s="61" customFormat="1" ht="18" customHeight="1">
      <c r="A13" s="1176" t="s">
        <v>38</v>
      </c>
      <c r="B13" s="1177"/>
      <c r="C13" s="65">
        <f aca="true" t="shared" si="1" ref="C13:N13">C15+C14</f>
        <v>43</v>
      </c>
      <c r="D13" s="65">
        <f t="shared" si="1"/>
        <v>248966</v>
      </c>
      <c r="E13" s="65">
        <f t="shared" si="1"/>
        <v>35</v>
      </c>
      <c r="F13" s="65">
        <f t="shared" si="1"/>
        <v>220606</v>
      </c>
      <c r="G13" s="65">
        <f t="shared" si="1"/>
        <v>37</v>
      </c>
      <c r="H13" s="65">
        <f t="shared" si="1"/>
        <v>145526</v>
      </c>
      <c r="I13" s="65">
        <f t="shared" si="1"/>
        <v>35</v>
      </c>
      <c r="J13" s="65">
        <f t="shared" si="1"/>
        <v>141026</v>
      </c>
      <c r="K13" s="65">
        <f t="shared" si="1"/>
        <v>6</v>
      </c>
      <c r="L13" s="65">
        <f t="shared" si="1"/>
        <v>103440</v>
      </c>
      <c r="M13" s="65">
        <f t="shared" si="1"/>
        <v>0</v>
      </c>
      <c r="N13" s="65">
        <f t="shared" si="1"/>
        <v>79580</v>
      </c>
      <c r="O13" s="66">
        <f>O14+O15</f>
        <v>35</v>
      </c>
      <c r="P13" s="67">
        <f>P14+P15</f>
        <v>220606</v>
      </c>
      <c r="Q13" s="59">
        <f aca="true" t="shared" si="2" ref="Q13:Q26">E13-O13</f>
        <v>0</v>
      </c>
      <c r="R13" s="59">
        <f aca="true" t="shared" si="3" ref="R13:R26">F13-P13</f>
        <v>0</v>
      </c>
      <c r="AF13" s="61" t="s">
        <v>376</v>
      </c>
    </row>
    <row r="14" spans="1:37" s="61" customFormat="1" ht="18" customHeight="1">
      <c r="A14" s="68" t="s">
        <v>0</v>
      </c>
      <c r="B14" s="69" t="s">
        <v>98</v>
      </c>
      <c r="C14" s="70">
        <f>G14+K14</f>
        <v>2</v>
      </c>
      <c r="D14" s="70">
        <f>H14+L14</f>
        <v>13066</v>
      </c>
      <c r="E14" s="70">
        <f>I14+M14</f>
        <v>1</v>
      </c>
      <c r="F14" s="70">
        <f>J14+N14</f>
        <v>13066</v>
      </c>
      <c r="G14" s="71">
        <v>1</v>
      </c>
      <c r="H14" s="71">
        <v>9800</v>
      </c>
      <c r="I14" s="71">
        <v>1</v>
      </c>
      <c r="J14" s="71">
        <v>9800</v>
      </c>
      <c r="K14" s="71">
        <v>1</v>
      </c>
      <c r="L14" s="71">
        <v>3266</v>
      </c>
      <c r="M14" s="71">
        <v>0</v>
      </c>
      <c r="N14" s="71">
        <v>3266</v>
      </c>
      <c r="O14" s="59">
        <f>'[4]M6 Tong hop Viec CHV '!$K$20</f>
        <v>1</v>
      </c>
      <c r="P14" s="60">
        <f>'[4]M7 Thop tien CHV'!$K$20</f>
        <v>13066</v>
      </c>
      <c r="Q14" s="59">
        <f t="shared" si="2"/>
        <v>0</v>
      </c>
      <c r="R14" s="59">
        <f t="shared" si="3"/>
        <v>0</v>
      </c>
      <c r="AK14" s="72"/>
    </row>
    <row r="15" spans="1:18" s="61" customFormat="1" ht="18" customHeight="1">
      <c r="A15" s="73" t="s">
        <v>1</v>
      </c>
      <c r="B15" s="69" t="s">
        <v>19</v>
      </c>
      <c r="C15" s="74">
        <f aca="true" t="shared" si="4" ref="C15:N15">SUM(C16:C26)</f>
        <v>41</v>
      </c>
      <c r="D15" s="74">
        <f t="shared" si="4"/>
        <v>235900</v>
      </c>
      <c r="E15" s="74">
        <f t="shared" si="4"/>
        <v>34</v>
      </c>
      <c r="F15" s="74">
        <f t="shared" si="4"/>
        <v>207540</v>
      </c>
      <c r="G15" s="74">
        <f t="shared" si="4"/>
        <v>36</v>
      </c>
      <c r="H15" s="74">
        <f t="shared" si="4"/>
        <v>135726</v>
      </c>
      <c r="I15" s="74">
        <f t="shared" si="4"/>
        <v>34</v>
      </c>
      <c r="J15" s="74">
        <f t="shared" si="4"/>
        <v>131226</v>
      </c>
      <c r="K15" s="74">
        <f t="shared" si="4"/>
        <v>5</v>
      </c>
      <c r="L15" s="74">
        <f t="shared" si="4"/>
        <v>100174</v>
      </c>
      <c r="M15" s="74">
        <f t="shared" si="4"/>
        <v>0</v>
      </c>
      <c r="N15" s="74">
        <f t="shared" si="4"/>
        <v>76314</v>
      </c>
      <c r="O15" s="66">
        <f>O16+O17+O18+O19+O20+O21+O22+O23+O24+O25+O26</f>
        <v>34</v>
      </c>
      <c r="P15" s="67">
        <f>P16+P17+P18+P19+P20+P21+P22+P23+P24+P25+P26</f>
        <v>207540</v>
      </c>
      <c r="Q15" s="59">
        <f t="shared" si="2"/>
        <v>0</v>
      </c>
      <c r="R15" s="59">
        <f t="shared" si="3"/>
        <v>0</v>
      </c>
    </row>
    <row r="16" spans="1:38" s="61" customFormat="1" ht="18" customHeight="1">
      <c r="A16" s="75" t="s">
        <v>52</v>
      </c>
      <c r="B16" s="76" t="s">
        <v>377</v>
      </c>
      <c r="C16" s="70">
        <f aca="true" t="shared" si="5" ref="C16:C26">G16+K16</f>
        <v>5</v>
      </c>
      <c r="D16" s="70">
        <f aca="true" t="shared" si="6" ref="D16:D26">H16+L16</f>
        <v>47300</v>
      </c>
      <c r="E16" s="70">
        <f aca="true" t="shared" si="7" ref="E16:E26">I16+M16</f>
        <v>5</v>
      </c>
      <c r="F16" s="70">
        <f aca="true" t="shared" si="8" ref="F16:F26">J16+N16</f>
        <v>47300</v>
      </c>
      <c r="G16" s="71">
        <v>5</v>
      </c>
      <c r="H16" s="71">
        <v>27717</v>
      </c>
      <c r="I16" s="71">
        <v>5</v>
      </c>
      <c r="J16" s="71">
        <v>27717</v>
      </c>
      <c r="K16" s="71"/>
      <c r="L16" s="71">
        <v>19583</v>
      </c>
      <c r="M16" s="71"/>
      <c r="N16" s="71">
        <v>19583</v>
      </c>
      <c r="O16" s="59">
        <f>'[4]M6 Tong hop Viec CHV '!$K$30</f>
        <v>5</v>
      </c>
      <c r="P16" s="60">
        <f>'[4]M7 Thop tien CHV'!$K$30</f>
        <v>47300</v>
      </c>
      <c r="Q16" s="59">
        <f t="shared" si="2"/>
        <v>0</v>
      </c>
      <c r="R16" s="59">
        <f t="shared" si="3"/>
        <v>0</v>
      </c>
      <c r="AL16" s="72"/>
    </row>
    <row r="17" spans="1:32" s="61" customFormat="1" ht="18" customHeight="1">
      <c r="A17" s="75" t="s">
        <v>53</v>
      </c>
      <c r="B17" s="77" t="s">
        <v>378</v>
      </c>
      <c r="C17" s="70">
        <f t="shared" si="5"/>
        <v>1</v>
      </c>
      <c r="D17" s="70">
        <f t="shared" si="6"/>
        <v>4840</v>
      </c>
      <c r="E17" s="70">
        <f t="shared" si="7"/>
        <v>1</v>
      </c>
      <c r="F17" s="70">
        <f t="shared" si="8"/>
        <v>4840</v>
      </c>
      <c r="G17" s="71">
        <v>1</v>
      </c>
      <c r="H17" s="71">
        <v>4840</v>
      </c>
      <c r="I17" s="71">
        <v>1</v>
      </c>
      <c r="J17" s="71">
        <v>4840</v>
      </c>
      <c r="K17" s="71">
        <v>0</v>
      </c>
      <c r="L17" s="71">
        <v>0</v>
      </c>
      <c r="M17" s="71">
        <v>0</v>
      </c>
      <c r="N17" s="71">
        <v>0</v>
      </c>
      <c r="O17" s="59">
        <f>'[5]M6 Tong hop Viec CHV '!$K$39</f>
        <v>1</v>
      </c>
      <c r="P17" s="60">
        <f>'[5]M7 Thop tien CHV'!$K$37</f>
        <v>4840</v>
      </c>
      <c r="Q17" s="59">
        <f t="shared" si="2"/>
        <v>0</v>
      </c>
      <c r="R17" s="59">
        <f t="shared" si="3"/>
        <v>0</v>
      </c>
      <c r="AF17" s="72" t="s">
        <v>379</v>
      </c>
    </row>
    <row r="18" spans="1:18" s="79" customFormat="1" ht="18" customHeight="1">
      <c r="A18" s="75" t="s">
        <v>58</v>
      </c>
      <c r="B18" s="76" t="s">
        <v>380</v>
      </c>
      <c r="C18" s="70">
        <f t="shared" si="5"/>
        <v>11</v>
      </c>
      <c r="D18" s="70">
        <f t="shared" si="6"/>
        <v>87159</v>
      </c>
      <c r="E18" s="70">
        <f t="shared" si="7"/>
        <v>8</v>
      </c>
      <c r="F18" s="70">
        <f t="shared" si="8"/>
        <v>87159</v>
      </c>
      <c r="G18" s="78">
        <v>8</v>
      </c>
      <c r="H18" s="78">
        <v>38228</v>
      </c>
      <c r="I18" s="78">
        <v>8</v>
      </c>
      <c r="J18" s="78">
        <v>38228</v>
      </c>
      <c r="K18" s="78">
        <v>3</v>
      </c>
      <c r="L18" s="78">
        <v>48931</v>
      </c>
      <c r="M18" s="78"/>
      <c r="N18" s="78">
        <v>48931</v>
      </c>
      <c r="O18" s="59">
        <f>'[5]M6 Tong hop Viec CHV '!$K$46</f>
        <v>8</v>
      </c>
      <c r="P18" s="60">
        <f>'[4]M7 Thop tien CHV'!$K$41</f>
        <v>87159</v>
      </c>
      <c r="Q18" s="59">
        <f t="shared" si="2"/>
        <v>0</v>
      </c>
      <c r="R18" s="59">
        <f t="shared" si="3"/>
        <v>0</v>
      </c>
    </row>
    <row r="19" spans="1:18" s="61" customFormat="1" ht="18" customHeight="1">
      <c r="A19" s="75" t="s">
        <v>73</v>
      </c>
      <c r="B19" s="76" t="s">
        <v>381</v>
      </c>
      <c r="C19" s="70">
        <f t="shared" si="5"/>
        <v>0</v>
      </c>
      <c r="D19" s="70">
        <f t="shared" si="6"/>
        <v>0</v>
      </c>
      <c r="E19" s="70">
        <f t="shared" si="7"/>
        <v>0</v>
      </c>
      <c r="F19" s="70">
        <f t="shared" si="8"/>
        <v>0</v>
      </c>
      <c r="G19" s="71">
        <v>0</v>
      </c>
      <c r="H19" s="71">
        <v>0</v>
      </c>
      <c r="I19" s="71">
        <v>0</v>
      </c>
      <c r="J19" s="71">
        <v>0</v>
      </c>
      <c r="K19" s="71">
        <v>0</v>
      </c>
      <c r="L19" s="71">
        <v>0</v>
      </c>
      <c r="M19" s="71">
        <v>0</v>
      </c>
      <c r="N19" s="71">
        <v>0</v>
      </c>
      <c r="O19" s="59">
        <f>'[4]M6 Tong hop Viec CHV '!$K$52</f>
        <v>0</v>
      </c>
      <c r="P19" s="60">
        <f>'[4]M7 Thop tien CHV'!$K$51</f>
        <v>0</v>
      </c>
      <c r="Q19" s="59">
        <f t="shared" si="2"/>
        <v>0</v>
      </c>
      <c r="R19" s="59">
        <f t="shared" si="3"/>
        <v>0</v>
      </c>
    </row>
    <row r="20" spans="1:18" s="61" customFormat="1" ht="18" customHeight="1">
      <c r="A20" s="75" t="s">
        <v>74</v>
      </c>
      <c r="B20" s="80" t="s">
        <v>382</v>
      </c>
      <c r="C20" s="70">
        <f t="shared" si="5"/>
        <v>8</v>
      </c>
      <c r="D20" s="70">
        <f t="shared" si="6"/>
        <v>7479</v>
      </c>
      <c r="E20" s="70">
        <f t="shared" si="7"/>
        <v>8</v>
      </c>
      <c r="F20" s="70">
        <f t="shared" si="8"/>
        <v>7479</v>
      </c>
      <c r="G20" s="71">
        <v>8</v>
      </c>
      <c r="H20" s="71">
        <v>7479</v>
      </c>
      <c r="I20" s="71">
        <v>8</v>
      </c>
      <c r="J20" s="71">
        <v>7479</v>
      </c>
      <c r="K20" s="71">
        <v>0</v>
      </c>
      <c r="L20" s="71">
        <v>0</v>
      </c>
      <c r="M20" s="71">
        <v>0</v>
      </c>
      <c r="N20" s="71">
        <v>0</v>
      </c>
      <c r="O20" s="59">
        <f>'[5]M6 Tong hop Viec CHV '!$K$64</f>
        <v>8</v>
      </c>
      <c r="P20" s="60">
        <f>'[5]M7 Thop tien CHV'!$K$55</f>
        <v>7479</v>
      </c>
      <c r="Q20" s="59">
        <f t="shared" si="2"/>
        <v>0</v>
      </c>
      <c r="R20" s="59">
        <f t="shared" si="3"/>
        <v>0</v>
      </c>
    </row>
    <row r="21" spans="1:39" s="61" customFormat="1" ht="18" customHeight="1">
      <c r="A21" s="75" t="s">
        <v>75</v>
      </c>
      <c r="B21" s="76" t="s">
        <v>383</v>
      </c>
      <c r="C21" s="70">
        <f t="shared" si="5"/>
        <v>5</v>
      </c>
      <c r="D21" s="70">
        <f t="shared" si="6"/>
        <v>12380</v>
      </c>
      <c r="E21" s="70">
        <f t="shared" si="7"/>
        <v>5</v>
      </c>
      <c r="F21" s="70">
        <f t="shared" si="8"/>
        <v>12380</v>
      </c>
      <c r="G21" s="71">
        <v>5</v>
      </c>
      <c r="H21" s="71">
        <v>12380</v>
      </c>
      <c r="I21" s="71">
        <v>5</v>
      </c>
      <c r="J21" s="71">
        <v>12380</v>
      </c>
      <c r="K21" s="71">
        <v>0</v>
      </c>
      <c r="L21" s="71">
        <v>0</v>
      </c>
      <c r="M21" s="71">
        <v>0</v>
      </c>
      <c r="N21" s="71">
        <v>0</v>
      </c>
      <c r="O21" s="59">
        <f>'[5]M6 Tong hop Viec CHV '!$K$71</f>
        <v>5</v>
      </c>
      <c r="P21" s="60">
        <f>'[5]M7 Thop tien CHV'!$K$60</f>
        <v>12380</v>
      </c>
      <c r="Q21" s="59">
        <f t="shared" si="2"/>
        <v>0</v>
      </c>
      <c r="R21" s="59">
        <f t="shared" si="3"/>
        <v>0</v>
      </c>
      <c r="AJ21" s="61" t="s">
        <v>384</v>
      </c>
      <c r="AK21" s="61" t="s">
        <v>385</v>
      </c>
      <c r="AL21" s="61" t="s">
        <v>386</v>
      </c>
      <c r="AM21" s="72" t="s">
        <v>387</v>
      </c>
    </row>
    <row r="22" spans="1:39" s="61" customFormat="1" ht="18" customHeight="1">
      <c r="A22" s="75" t="s">
        <v>76</v>
      </c>
      <c r="B22" s="76" t="s">
        <v>388</v>
      </c>
      <c r="C22" s="70">
        <f t="shared" si="5"/>
        <v>4</v>
      </c>
      <c r="D22" s="70">
        <f t="shared" si="6"/>
        <v>22507</v>
      </c>
      <c r="E22" s="70">
        <f t="shared" si="7"/>
        <v>4</v>
      </c>
      <c r="F22" s="70">
        <f t="shared" si="8"/>
        <v>22507</v>
      </c>
      <c r="G22" s="71">
        <v>4</v>
      </c>
      <c r="H22" s="71">
        <v>22507</v>
      </c>
      <c r="I22" s="71">
        <v>4</v>
      </c>
      <c r="J22" s="71">
        <v>22507</v>
      </c>
      <c r="K22" s="71">
        <v>0</v>
      </c>
      <c r="L22" s="71">
        <v>0</v>
      </c>
      <c r="M22" s="71">
        <v>0</v>
      </c>
      <c r="N22" s="71">
        <v>0</v>
      </c>
      <c r="O22" s="59">
        <f>'[5]M6 Tong hop Viec CHV '!$K$78</f>
        <v>4</v>
      </c>
      <c r="P22" s="60">
        <f>'[5]M7 Thop tien CHV'!$K$65</f>
        <v>22507</v>
      </c>
      <c r="Q22" s="59">
        <f t="shared" si="2"/>
        <v>0</v>
      </c>
      <c r="R22" s="59">
        <f t="shared" si="3"/>
        <v>0</v>
      </c>
      <c r="AM22" s="72" t="s">
        <v>389</v>
      </c>
    </row>
    <row r="23" spans="1:18" s="61" customFormat="1" ht="18" customHeight="1">
      <c r="A23" s="75" t="s">
        <v>77</v>
      </c>
      <c r="B23" s="76" t="s">
        <v>390</v>
      </c>
      <c r="C23" s="70">
        <f t="shared" si="5"/>
        <v>3</v>
      </c>
      <c r="D23" s="70">
        <f t="shared" si="6"/>
        <v>7826</v>
      </c>
      <c r="E23" s="70">
        <f t="shared" si="7"/>
        <v>2</v>
      </c>
      <c r="F23" s="70">
        <f t="shared" si="8"/>
        <v>3326</v>
      </c>
      <c r="G23" s="71">
        <v>3</v>
      </c>
      <c r="H23" s="71">
        <v>7826</v>
      </c>
      <c r="I23" s="71">
        <v>2</v>
      </c>
      <c r="J23" s="71">
        <v>3326</v>
      </c>
      <c r="K23" s="71">
        <v>0</v>
      </c>
      <c r="L23" s="71">
        <v>0</v>
      </c>
      <c r="M23" s="71">
        <v>0</v>
      </c>
      <c r="N23" s="71">
        <v>0</v>
      </c>
      <c r="O23" s="59">
        <f>'[5]M6 Tong hop Viec CHV '!$K$84</f>
        <v>2</v>
      </c>
      <c r="P23" s="60">
        <f>'[5]M7 Thop tien CHV'!$K$69</f>
        <v>3326</v>
      </c>
      <c r="Q23" s="59">
        <f t="shared" si="2"/>
        <v>0</v>
      </c>
      <c r="R23" s="59">
        <f t="shared" si="3"/>
        <v>0</v>
      </c>
    </row>
    <row r="24" spans="1:36" s="61" customFormat="1" ht="18" customHeight="1">
      <c r="A24" s="75" t="s">
        <v>78</v>
      </c>
      <c r="B24" s="76" t="s">
        <v>391</v>
      </c>
      <c r="C24" s="70">
        <f t="shared" si="5"/>
        <v>0</v>
      </c>
      <c r="D24" s="70">
        <f t="shared" si="6"/>
        <v>0</v>
      </c>
      <c r="E24" s="70">
        <f t="shared" si="7"/>
        <v>0</v>
      </c>
      <c r="F24" s="70">
        <f t="shared" si="8"/>
        <v>0</v>
      </c>
      <c r="G24" s="71">
        <v>0</v>
      </c>
      <c r="H24" s="71">
        <v>0</v>
      </c>
      <c r="I24" s="71">
        <v>0</v>
      </c>
      <c r="J24" s="71">
        <v>0</v>
      </c>
      <c r="K24" s="71">
        <v>0</v>
      </c>
      <c r="L24" s="71">
        <v>0</v>
      </c>
      <c r="M24" s="71">
        <v>0</v>
      </c>
      <c r="N24" s="71">
        <v>0</v>
      </c>
      <c r="O24" s="59">
        <f>'[4]M6 Tong hop Viec CHV '!$K$75</f>
        <v>0</v>
      </c>
      <c r="P24" s="60">
        <f>'[4]M7 Thop tien CHV'!$K$74</f>
        <v>0</v>
      </c>
      <c r="Q24" s="59">
        <f t="shared" si="2"/>
        <v>0</v>
      </c>
      <c r="R24" s="59">
        <f t="shared" si="3"/>
        <v>0</v>
      </c>
      <c r="AJ24" s="61" t="s">
        <v>384</v>
      </c>
    </row>
    <row r="25" spans="1:36" s="61" customFormat="1" ht="18" customHeight="1">
      <c r="A25" s="75" t="s">
        <v>101</v>
      </c>
      <c r="B25" s="76" t="s">
        <v>392</v>
      </c>
      <c r="C25" s="70">
        <f t="shared" si="5"/>
        <v>1</v>
      </c>
      <c r="D25" s="70">
        <f t="shared" si="6"/>
        <v>4300</v>
      </c>
      <c r="E25" s="70">
        <f t="shared" si="7"/>
        <v>0</v>
      </c>
      <c r="F25" s="70">
        <f t="shared" si="8"/>
        <v>4300</v>
      </c>
      <c r="G25" s="71">
        <v>0</v>
      </c>
      <c r="H25" s="71">
        <v>0</v>
      </c>
      <c r="I25" s="71">
        <v>0</v>
      </c>
      <c r="J25" s="71"/>
      <c r="K25" s="71">
        <v>1</v>
      </c>
      <c r="L25" s="71">
        <v>4300</v>
      </c>
      <c r="M25" s="71">
        <v>0</v>
      </c>
      <c r="N25" s="71">
        <v>4300</v>
      </c>
      <c r="O25" s="59">
        <f>'[5]M6 Tong hop Viec CHV '!$K$99</f>
        <v>0</v>
      </c>
      <c r="P25" s="60">
        <f>'[5]M7 Thop tien CHV'!$K$80</f>
        <v>4300</v>
      </c>
      <c r="Q25" s="59">
        <f t="shared" si="2"/>
        <v>0</v>
      </c>
      <c r="R25" s="59">
        <f t="shared" si="3"/>
        <v>0</v>
      </c>
      <c r="AJ25" s="72" t="s">
        <v>393</v>
      </c>
    </row>
    <row r="26" spans="1:44" s="61" customFormat="1" ht="18" customHeight="1">
      <c r="A26" s="75" t="s">
        <v>102</v>
      </c>
      <c r="B26" s="76" t="s">
        <v>394</v>
      </c>
      <c r="C26" s="70">
        <f t="shared" si="5"/>
        <v>3</v>
      </c>
      <c r="D26" s="70">
        <f t="shared" si="6"/>
        <v>42109</v>
      </c>
      <c r="E26" s="70">
        <f t="shared" si="7"/>
        <v>1</v>
      </c>
      <c r="F26" s="70">
        <f t="shared" si="8"/>
        <v>18249</v>
      </c>
      <c r="G26" s="78">
        <v>2</v>
      </c>
      <c r="H26" s="78">
        <v>14749</v>
      </c>
      <c r="I26" s="78">
        <v>1</v>
      </c>
      <c r="J26" s="78">
        <v>14749</v>
      </c>
      <c r="K26" s="78">
        <v>1</v>
      </c>
      <c r="L26" s="78">
        <v>27360</v>
      </c>
      <c r="M26" s="78"/>
      <c r="N26" s="78">
        <v>3500</v>
      </c>
      <c r="O26" s="81">
        <f>'[5]M6 Tong hop Viec CHV '!$K$106</f>
        <v>1</v>
      </c>
      <c r="P26" s="60">
        <f>'[5]M7 Thop tien CHV'!$K$85</f>
        <v>18249</v>
      </c>
      <c r="Q26" s="59">
        <f t="shared" si="2"/>
        <v>0</v>
      </c>
      <c r="R26" s="59">
        <f t="shared" si="3"/>
        <v>0</v>
      </c>
      <c r="AR26" s="72"/>
    </row>
    <row r="27" spans="7:14" ht="8.25" customHeight="1">
      <c r="G27" s="3"/>
      <c r="H27" s="3"/>
      <c r="I27" s="3"/>
      <c r="J27" s="3"/>
      <c r="K27" s="4"/>
      <c r="L27" s="4"/>
      <c r="M27" s="4"/>
      <c r="N27" s="4"/>
    </row>
    <row r="28" spans="1:35" s="87" customFormat="1" ht="19.5" customHeight="1">
      <c r="A28" s="42"/>
      <c r="B28" s="1178" t="s">
        <v>480</v>
      </c>
      <c r="C28" s="1178"/>
      <c r="D28" s="1178"/>
      <c r="E28" s="1178"/>
      <c r="F28" s="84"/>
      <c r="G28" s="85"/>
      <c r="H28" s="85"/>
      <c r="I28" s="85"/>
      <c r="J28" s="1178" t="s">
        <v>481</v>
      </c>
      <c r="K28" s="1178"/>
      <c r="L28" s="1178"/>
      <c r="M28" s="1178"/>
      <c r="N28" s="1178"/>
      <c r="O28" s="86"/>
      <c r="P28" s="86"/>
      <c r="AG28" s="87" t="s">
        <v>396</v>
      </c>
      <c r="AI28" s="88">
        <f>82/88</f>
        <v>0.9318181818181818</v>
      </c>
    </row>
    <row r="29" spans="1:16" s="94" customFormat="1" ht="19.5" customHeight="1">
      <c r="A29" s="89"/>
      <c r="B29" s="1166" t="s">
        <v>43</v>
      </c>
      <c r="C29" s="1166"/>
      <c r="D29" s="1166"/>
      <c r="E29" s="1166"/>
      <c r="F29" s="91"/>
      <c r="G29" s="92"/>
      <c r="H29" s="92"/>
      <c r="I29" s="92"/>
      <c r="J29" s="1166" t="s">
        <v>397</v>
      </c>
      <c r="K29" s="1166"/>
      <c r="L29" s="1166"/>
      <c r="M29" s="1166"/>
      <c r="N29" s="1166"/>
      <c r="O29" s="93"/>
      <c r="P29" s="93"/>
    </row>
    <row r="30" spans="1:16" s="94" customFormat="1" ht="19.5" customHeight="1">
      <c r="A30" s="89"/>
      <c r="B30" s="1174"/>
      <c r="C30" s="1174"/>
      <c r="D30" s="1174"/>
      <c r="E30" s="91"/>
      <c r="F30" s="91"/>
      <c r="G30" s="92"/>
      <c r="H30" s="92"/>
      <c r="I30" s="92"/>
      <c r="J30" s="1175"/>
      <c r="K30" s="1175"/>
      <c r="L30" s="1175"/>
      <c r="M30" s="1175"/>
      <c r="N30" s="1175"/>
      <c r="O30" s="93"/>
      <c r="P30" s="93"/>
    </row>
    <row r="31" spans="1:16" s="94" customFormat="1" ht="8.25" customHeight="1">
      <c r="A31" s="89"/>
      <c r="B31" s="95"/>
      <c r="C31" s="95" t="s">
        <v>103</v>
      </c>
      <c r="D31" s="95"/>
      <c r="E31" s="96"/>
      <c r="F31" s="96"/>
      <c r="G31" s="97"/>
      <c r="H31" s="97"/>
      <c r="I31" s="97"/>
      <c r="J31" s="95"/>
      <c r="K31" s="95"/>
      <c r="L31" s="95"/>
      <c r="M31" s="95"/>
      <c r="N31" s="95"/>
      <c r="O31" s="93"/>
      <c r="P31" s="93"/>
    </row>
    <row r="32" spans="1:16" s="94" customFormat="1" ht="9" customHeight="1">
      <c r="A32" s="89"/>
      <c r="B32" s="1168" t="s">
        <v>398</v>
      </c>
      <c r="C32" s="1168"/>
      <c r="D32" s="1168"/>
      <c r="E32" s="1168"/>
      <c r="F32" s="96"/>
      <c r="G32" s="97"/>
      <c r="H32" s="97"/>
      <c r="I32" s="97"/>
      <c r="J32" s="1167" t="s">
        <v>398</v>
      </c>
      <c r="K32" s="1167"/>
      <c r="L32" s="1167"/>
      <c r="M32" s="1167"/>
      <c r="N32" s="1167"/>
      <c r="O32" s="93"/>
      <c r="P32" s="93"/>
    </row>
    <row r="33" spans="1:16" s="94" customFormat="1" ht="19.5" customHeight="1">
      <c r="A33" s="89"/>
      <c r="B33" s="1166" t="s">
        <v>399</v>
      </c>
      <c r="C33" s="1166"/>
      <c r="D33" s="1166"/>
      <c r="E33" s="1166"/>
      <c r="F33" s="91"/>
      <c r="G33" s="92"/>
      <c r="H33" s="92"/>
      <c r="I33" s="92"/>
      <c r="J33" s="90"/>
      <c r="K33" s="1166" t="s">
        <v>399</v>
      </c>
      <c r="L33" s="1166"/>
      <c r="M33" s="1166"/>
      <c r="N33" s="90"/>
      <c r="O33" s="93"/>
      <c r="P33" s="93"/>
    </row>
    <row r="34" spans="1:16" s="94" customFormat="1" ht="19.5" customHeight="1">
      <c r="A34" s="89"/>
      <c r="B34" s="90"/>
      <c r="C34" s="90"/>
      <c r="D34" s="90"/>
      <c r="E34" s="91"/>
      <c r="F34" s="91"/>
      <c r="G34" s="92"/>
      <c r="H34" s="92"/>
      <c r="I34" s="92"/>
      <c r="J34" s="90"/>
      <c r="K34" s="90"/>
      <c r="L34" s="90"/>
      <c r="M34" s="90"/>
      <c r="N34" s="90"/>
      <c r="O34" s="93"/>
      <c r="P34" s="93"/>
    </row>
    <row r="35" spans="2:14" ht="18.75" hidden="1">
      <c r="B35" s="98"/>
      <c r="C35" s="99"/>
      <c r="D35" s="99"/>
      <c r="E35" s="99"/>
      <c r="F35" s="99"/>
      <c r="G35" s="100"/>
      <c r="H35" s="100"/>
      <c r="I35" s="100"/>
      <c r="J35" s="100"/>
      <c r="K35" s="100"/>
      <c r="L35" s="100"/>
      <c r="M35" s="100"/>
      <c r="N35" s="98"/>
    </row>
    <row r="36" spans="2:19" ht="19.5" customHeight="1">
      <c r="B36" s="1205" t="s">
        <v>352</v>
      </c>
      <c r="C36" s="1205"/>
      <c r="D36" s="1205"/>
      <c r="E36" s="1205"/>
      <c r="F36" s="100"/>
      <c r="G36" s="100"/>
      <c r="H36" s="100"/>
      <c r="I36" s="100"/>
      <c r="J36" s="1206" t="s">
        <v>353</v>
      </c>
      <c r="K36" s="1206"/>
      <c r="L36" s="1206"/>
      <c r="M36" s="1206"/>
      <c r="N36" s="1206"/>
      <c r="O36" s="103"/>
      <c r="P36" s="103"/>
      <c r="Q36" s="104"/>
      <c r="R36" s="104"/>
      <c r="S36" s="104"/>
    </row>
    <row r="37" spans="2:14" ht="18.75">
      <c r="B37" s="105"/>
      <c r="C37" s="99"/>
      <c r="D37" s="99"/>
      <c r="E37" s="99"/>
      <c r="F37" s="99"/>
      <c r="G37" s="98"/>
      <c r="H37" s="98"/>
      <c r="I37" s="98"/>
      <c r="J37" s="98"/>
      <c r="K37" s="98"/>
      <c r="L37" s="98"/>
      <c r="M37" s="98"/>
      <c r="N37" s="98"/>
    </row>
    <row r="38" spans="2:11" ht="15.75">
      <c r="B38" s="51"/>
      <c r="C38" s="51"/>
      <c r="D38" s="51"/>
      <c r="E38" s="51"/>
      <c r="F38" s="51"/>
      <c r="G38" s="106"/>
      <c r="H38" s="106"/>
      <c r="I38" s="106"/>
      <c r="J38" s="106"/>
      <c r="K38" s="51"/>
    </row>
    <row r="39" spans="2:11" ht="15.75">
      <c r="B39" s="51"/>
      <c r="C39" s="51"/>
      <c r="D39" s="51"/>
      <c r="E39" s="51"/>
      <c r="F39" s="51"/>
      <c r="G39" s="106"/>
      <c r="H39" s="106"/>
      <c r="I39" s="106"/>
      <c r="J39" s="106"/>
      <c r="K39" s="51"/>
    </row>
    <row r="40" spans="2:11" ht="15.75">
      <c r="B40" s="51"/>
      <c r="C40" s="51"/>
      <c r="D40" s="51"/>
      <c r="E40" s="51"/>
      <c r="F40" s="51"/>
      <c r="G40" s="106"/>
      <c r="H40" s="106"/>
      <c r="I40" s="106"/>
      <c r="J40" s="106"/>
      <c r="K40" s="51"/>
    </row>
    <row r="41" spans="2:11" ht="15.75">
      <c r="B41" s="51"/>
      <c r="C41" s="51"/>
      <c r="D41" s="51"/>
      <c r="E41" s="51"/>
      <c r="F41" s="51"/>
      <c r="G41" s="106"/>
      <c r="H41" s="106"/>
      <c r="I41" s="106"/>
      <c r="J41" s="106"/>
      <c r="K41" s="51"/>
    </row>
    <row r="42" spans="7:10" ht="15.75">
      <c r="G42" s="106"/>
      <c r="H42" s="106"/>
      <c r="I42" s="106"/>
      <c r="J42" s="106"/>
    </row>
    <row r="43" spans="7:10" ht="15.75">
      <c r="G43" s="106"/>
      <c r="H43" s="106"/>
      <c r="I43" s="106"/>
      <c r="J43" s="106"/>
    </row>
    <row r="44" spans="7:10" ht="15.75">
      <c r="G44" s="106"/>
      <c r="H44" s="106"/>
      <c r="I44" s="106"/>
      <c r="J44" s="106"/>
    </row>
    <row r="45" spans="7:10" ht="15.75">
      <c r="G45" s="106"/>
      <c r="H45" s="106"/>
      <c r="I45" s="106"/>
      <c r="J45" s="106"/>
    </row>
  </sheetData>
  <sheetProtection/>
  <mergeCells count="42">
    <mergeCell ref="J28:N28"/>
    <mergeCell ref="J29:N29"/>
    <mergeCell ref="G6:N6"/>
    <mergeCell ref="I8:J8"/>
    <mergeCell ref="B36:E36"/>
    <mergeCell ref="J36:N36"/>
    <mergeCell ref="B29:E29"/>
    <mergeCell ref="E8:F8"/>
    <mergeCell ref="G8:H8"/>
    <mergeCell ref="C8:D8"/>
    <mergeCell ref="E3:J3"/>
    <mergeCell ref="A3:D3"/>
    <mergeCell ref="A11:B11"/>
    <mergeCell ref="A12:B12"/>
    <mergeCell ref="A10:B10"/>
    <mergeCell ref="A6:B9"/>
    <mergeCell ref="L4:N4"/>
    <mergeCell ref="M8:N8"/>
    <mergeCell ref="K7:N7"/>
    <mergeCell ref="D5:K5"/>
    <mergeCell ref="C6:F7"/>
    <mergeCell ref="A4:D4"/>
    <mergeCell ref="E1:K2"/>
    <mergeCell ref="A1:D1"/>
    <mergeCell ref="O6:R6"/>
    <mergeCell ref="R7:R9"/>
    <mergeCell ref="Q7:Q9"/>
    <mergeCell ref="O8:O9"/>
    <mergeCell ref="P8:P9"/>
    <mergeCell ref="A2:D2"/>
    <mergeCell ref="L2:N2"/>
    <mergeCell ref="L3:N3"/>
    <mergeCell ref="B33:E33"/>
    <mergeCell ref="K33:M33"/>
    <mergeCell ref="J32:N32"/>
    <mergeCell ref="B32:E32"/>
    <mergeCell ref="G7:J7"/>
    <mergeCell ref="K8:L8"/>
    <mergeCell ref="B30:D30"/>
    <mergeCell ref="J30:N30"/>
    <mergeCell ref="A13:B13"/>
    <mergeCell ref="B28:E28"/>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48"/>
  </sheetPr>
  <dimension ref="A1:D40"/>
  <sheetViews>
    <sheetView showZeros="0" view="pageBreakPreview" zoomScale="85" zoomScaleNormal="80" zoomScaleSheetLayoutView="85" zoomScalePageLayoutView="0" workbookViewId="0" topLeftCell="A28">
      <selection activeCell="C7" sqref="C7"/>
    </sheetView>
  </sheetViews>
  <sheetFormatPr defaultColWidth="9.00390625" defaultRowHeight="15.75"/>
  <cols>
    <col min="1" max="1" width="4.25390625" style="424" customWidth="1"/>
    <col min="2" max="2" width="46.375" style="424" customWidth="1"/>
    <col min="3" max="3" width="40.00390625" style="424" customWidth="1"/>
    <col min="4" max="4" width="11.125" style="727" bestFit="1" customWidth="1"/>
    <col min="5" max="16384" width="9.00390625" style="424" customWidth="1"/>
  </cols>
  <sheetData>
    <row r="1" spans="1:4" s="438" customFormat="1" ht="36" customHeight="1">
      <c r="A1" s="1487" t="s">
        <v>206</v>
      </c>
      <c r="B1" s="1488"/>
      <c r="C1" s="1488"/>
      <c r="D1" s="719"/>
    </row>
    <row r="2" spans="1:4" s="474" customFormat="1" ht="19.5" customHeight="1">
      <c r="A2" s="1489" t="s">
        <v>70</v>
      </c>
      <c r="B2" s="1490"/>
      <c r="C2" s="473" t="s">
        <v>342</v>
      </c>
      <c r="D2" s="720"/>
    </row>
    <row r="3" spans="1:4" s="446" customFormat="1" ht="18.75" customHeight="1">
      <c r="A3" s="1501" t="s">
        <v>6</v>
      </c>
      <c r="B3" s="1502"/>
      <c r="C3" s="443">
        <v>1</v>
      </c>
      <c r="D3" s="721"/>
    </row>
    <row r="4" spans="1:4" s="663" customFormat="1" ht="19.5" customHeight="1">
      <c r="A4" s="660" t="s">
        <v>52</v>
      </c>
      <c r="B4" s="661" t="s">
        <v>572</v>
      </c>
      <c r="C4" s="662">
        <f>SUM(C5:C13)</f>
        <v>15051918</v>
      </c>
      <c r="D4" s="722">
        <f>15051918-C4</f>
        <v>0</v>
      </c>
    </row>
    <row r="5" spans="1:4" s="26" customFormat="1" ht="19.5" customHeight="1">
      <c r="A5" s="447" t="s">
        <v>54</v>
      </c>
      <c r="B5" s="518" t="s">
        <v>168</v>
      </c>
      <c r="C5" s="684">
        <v>0</v>
      </c>
      <c r="D5" s="723"/>
    </row>
    <row r="6" spans="1:4" s="26" customFormat="1" ht="19.5" customHeight="1">
      <c r="A6" s="448" t="s">
        <v>55</v>
      </c>
      <c r="B6" s="518" t="s">
        <v>170</v>
      </c>
      <c r="C6" s="684">
        <f>848526+237504</f>
        <v>1086030</v>
      </c>
      <c r="D6" s="723"/>
    </row>
    <row r="7" spans="1:4" s="26" customFormat="1" ht="19.5" customHeight="1">
      <c r="A7" s="448" t="s">
        <v>141</v>
      </c>
      <c r="B7" s="518" t="s">
        <v>180</v>
      </c>
      <c r="C7" s="684">
        <v>0</v>
      </c>
      <c r="D7" s="723"/>
    </row>
    <row r="8" spans="1:4" s="26" customFormat="1" ht="19.5" customHeight="1">
      <c r="A8" s="448" t="s">
        <v>143</v>
      </c>
      <c r="B8" s="518" t="s">
        <v>172</v>
      </c>
      <c r="C8" s="684">
        <v>0</v>
      </c>
      <c r="D8" s="723"/>
    </row>
    <row r="9" spans="1:4" s="26" customFormat="1" ht="19.5" customHeight="1">
      <c r="A9" s="448" t="s">
        <v>145</v>
      </c>
      <c r="B9" s="518" t="s">
        <v>156</v>
      </c>
      <c r="C9" s="409"/>
      <c r="D9" s="723"/>
    </row>
    <row r="10" spans="1:4" s="26" customFormat="1" ht="19.5" customHeight="1">
      <c r="A10" s="448" t="s">
        <v>147</v>
      </c>
      <c r="B10" s="518" t="s">
        <v>185</v>
      </c>
      <c r="C10" s="409"/>
      <c r="D10" s="723"/>
    </row>
    <row r="11" spans="1:4" s="26" customFormat="1" ht="19.5" customHeight="1">
      <c r="A11" s="448" t="s">
        <v>149</v>
      </c>
      <c r="B11" s="518" t="s">
        <v>158</v>
      </c>
      <c r="C11" s="409"/>
      <c r="D11" s="723"/>
    </row>
    <row r="12" spans="1:4" s="449" customFormat="1" ht="19.5" customHeight="1">
      <c r="A12" s="448" t="s">
        <v>186</v>
      </c>
      <c r="B12" s="518" t="s">
        <v>187</v>
      </c>
      <c r="C12" s="409"/>
      <c r="D12" s="724"/>
    </row>
    <row r="13" spans="1:4" s="449" customFormat="1" ht="19.5" customHeight="1">
      <c r="A13" s="448" t="s">
        <v>575</v>
      </c>
      <c r="B13" s="518" t="s">
        <v>160</v>
      </c>
      <c r="C13" s="409">
        <v>13965888</v>
      </c>
      <c r="D13" s="724"/>
    </row>
    <row r="14" spans="1:4" s="664" customFormat="1" ht="19.5" customHeight="1">
      <c r="A14" s="660" t="s">
        <v>53</v>
      </c>
      <c r="B14" s="661" t="s">
        <v>573</v>
      </c>
      <c r="C14" s="662">
        <f>C15+C16</f>
        <v>37265398</v>
      </c>
      <c r="D14" s="725"/>
    </row>
    <row r="15" spans="1:4" s="449" customFormat="1" ht="19.5" customHeight="1">
      <c r="A15" s="447" t="s">
        <v>56</v>
      </c>
      <c r="B15" s="518" t="s">
        <v>188</v>
      </c>
      <c r="C15" s="684">
        <v>37265398</v>
      </c>
      <c r="D15" s="724"/>
    </row>
    <row r="16" spans="1:4" s="449" customFormat="1" ht="19.5" customHeight="1">
      <c r="A16" s="447" t="s">
        <v>57</v>
      </c>
      <c r="B16" s="518" t="s">
        <v>160</v>
      </c>
      <c r="C16" s="409"/>
      <c r="D16" s="724"/>
    </row>
    <row r="17" spans="1:4" s="663" customFormat="1" ht="19.5" customHeight="1">
      <c r="A17" s="660" t="s">
        <v>58</v>
      </c>
      <c r="B17" s="683" t="s">
        <v>150</v>
      </c>
      <c r="C17" s="662">
        <f>SUM(C18:C20)</f>
        <v>5056189</v>
      </c>
      <c r="D17" s="726"/>
    </row>
    <row r="18" spans="1:3" ht="19.5" customHeight="1">
      <c r="A18" s="447" t="s">
        <v>161</v>
      </c>
      <c r="B18" s="518" t="s">
        <v>189</v>
      </c>
      <c r="C18" s="684">
        <v>2655765</v>
      </c>
    </row>
    <row r="19" spans="1:4" s="26" customFormat="1" ht="30">
      <c r="A19" s="448" t="s">
        <v>163</v>
      </c>
      <c r="B19" s="518" t="s">
        <v>164</v>
      </c>
      <c r="C19" s="684">
        <v>2272712</v>
      </c>
      <c r="D19" s="723"/>
    </row>
    <row r="20" spans="1:4" s="26" customFormat="1" ht="19.5" customHeight="1">
      <c r="A20" s="448" t="s">
        <v>165</v>
      </c>
      <c r="B20" s="518" t="s">
        <v>166</v>
      </c>
      <c r="C20" s="684">
        <v>127712</v>
      </c>
      <c r="D20" s="723"/>
    </row>
    <row r="21" spans="1:4" s="665" customFormat="1" ht="19.5" customHeight="1">
      <c r="A21" s="685" t="s">
        <v>73</v>
      </c>
      <c r="B21" s="661" t="s">
        <v>570</v>
      </c>
      <c r="C21" s="662">
        <f>SUM(C22:C28)</f>
        <v>565924920</v>
      </c>
      <c r="D21" s="686"/>
    </row>
    <row r="22" spans="1:4" s="26" customFormat="1" ht="19.5" customHeight="1">
      <c r="A22" s="448" t="s">
        <v>167</v>
      </c>
      <c r="B22" s="518" t="s">
        <v>168</v>
      </c>
      <c r="C22" s="684">
        <v>6734622</v>
      </c>
      <c r="D22" s="723"/>
    </row>
    <row r="23" spans="1:4" s="26" customFormat="1" ht="19.5" customHeight="1">
      <c r="A23" s="448" t="s">
        <v>169</v>
      </c>
      <c r="B23" s="518" t="s">
        <v>170</v>
      </c>
      <c r="C23" s="684">
        <v>0</v>
      </c>
      <c r="D23" s="723"/>
    </row>
    <row r="24" spans="1:4" s="26" customFormat="1" ht="19.5" customHeight="1">
      <c r="A24" s="448" t="s">
        <v>171</v>
      </c>
      <c r="B24" s="518" t="s">
        <v>190</v>
      </c>
      <c r="C24" s="684">
        <v>62865858</v>
      </c>
      <c r="D24" s="723"/>
    </row>
    <row r="25" spans="1:4" s="26" customFormat="1" ht="19.5" customHeight="1">
      <c r="A25" s="448" t="s">
        <v>173</v>
      </c>
      <c r="B25" s="518" t="s">
        <v>155</v>
      </c>
      <c r="C25" s="684">
        <v>35566887</v>
      </c>
      <c r="D25" s="723"/>
    </row>
    <row r="26" spans="1:4" s="26" customFormat="1" ht="19.5" customHeight="1">
      <c r="A26" s="448" t="s">
        <v>174</v>
      </c>
      <c r="B26" s="518" t="s">
        <v>191</v>
      </c>
      <c r="C26" s="684">
        <v>0</v>
      </c>
      <c r="D26" s="723"/>
    </row>
    <row r="27" spans="1:4" s="26" customFormat="1" ht="19.5" customHeight="1">
      <c r="A27" s="448" t="s">
        <v>175</v>
      </c>
      <c r="B27" s="518" t="s">
        <v>158</v>
      </c>
      <c r="C27" s="684">
        <v>460757553</v>
      </c>
      <c r="D27" s="723"/>
    </row>
    <row r="28" spans="1:4" s="26" customFormat="1" ht="19.5" customHeight="1">
      <c r="A28" s="448" t="s">
        <v>192</v>
      </c>
      <c r="B28" s="518" t="s">
        <v>193</v>
      </c>
      <c r="C28" s="684">
        <v>0</v>
      </c>
      <c r="D28" s="723"/>
    </row>
    <row r="29" spans="1:4" s="665" customFormat="1" ht="19.5" customHeight="1">
      <c r="A29" s="660" t="s">
        <v>74</v>
      </c>
      <c r="B29" s="661" t="s">
        <v>574</v>
      </c>
      <c r="C29" s="662">
        <f>SUM(C30:C32)</f>
        <v>1039283396</v>
      </c>
      <c r="D29" s="686"/>
    </row>
    <row r="30" spans="1:3" ht="19.5" customHeight="1">
      <c r="A30" s="448" t="s">
        <v>177</v>
      </c>
      <c r="B30" s="518" t="s">
        <v>168</v>
      </c>
      <c r="C30" s="684">
        <v>800319128</v>
      </c>
    </row>
    <row r="31" spans="1:4" s="26" customFormat="1" ht="19.5" customHeight="1">
      <c r="A31" s="448" t="s">
        <v>178</v>
      </c>
      <c r="B31" s="518" t="s">
        <v>170</v>
      </c>
      <c r="C31" s="684"/>
      <c r="D31" s="723"/>
    </row>
    <row r="32" spans="1:4" s="26" customFormat="1" ht="19.5" customHeight="1">
      <c r="A32" s="448" t="s">
        <v>179</v>
      </c>
      <c r="B32" s="518" t="s">
        <v>190</v>
      </c>
      <c r="C32" s="684">
        <v>238964268</v>
      </c>
      <c r="D32" s="723"/>
    </row>
    <row r="33" spans="1:4" s="26" customFormat="1" ht="15.75">
      <c r="A33" s="450"/>
      <c r="B33" s="451"/>
      <c r="C33" s="451"/>
      <c r="D33" s="723"/>
    </row>
    <row r="34" spans="1:4" s="410" customFormat="1" ht="18.75">
      <c r="A34" s="1504"/>
      <c r="B34" s="1504"/>
      <c r="C34" s="519" t="str">
        <f>'Thong tin'!B8</f>
        <v>Hải Phòng, ngày 03 tháng 8 năm 2017</v>
      </c>
      <c r="D34" s="728"/>
    </row>
    <row r="35" spans="1:4" s="475" customFormat="1" ht="18.75">
      <c r="A35" s="1486" t="s">
        <v>4</v>
      </c>
      <c r="B35" s="1486"/>
      <c r="C35" s="520" t="str">
        <f>'Thong tin'!B7</f>
        <v>
PHÓ CỤC TRƯỞNG</v>
      </c>
      <c r="D35" s="729"/>
    </row>
    <row r="36" spans="1:4" s="410" customFormat="1" ht="18.75">
      <c r="A36" s="538"/>
      <c r="B36" s="522"/>
      <c r="C36" s="522"/>
      <c r="D36" s="728"/>
    </row>
    <row r="37" spans="1:4" s="410" customFormat="1" ht="18.75">
      <c r="A37" s="521"/>
      <c r="B37" s="522"/>
      <c r="C37" s="522"/>
      <c r="D37" s="728"/>
    </row>
    <row r="38" spans="1:4" s="410" customFormat="1" ht="15.75">
      <c r="A38" s="521"/>
      <c r="B38" s="521"/>
      <c r="C38" s="521"/>
      <c r="D38" s="728"/>
    </row>
    <row r="39" spans="1:3" ht="15.75">
      <c r="A39" s="524"/>
      <c r="B39" s="525"/>
      <c r="C39" s="526"/>
    </row>
    <row r="40" spans="1:4" s="446" customFormat="1" ht="18.75">
      <c r="A40" s="1485" t="str">
        <f>'Thong tin'!B5</f>
        <v>Trần Thị Minh</v>
      </c>
      <c r="B40" s="1485"/>
      <c r="C40" s="528" t="str">
        <f>'Thong tin'!B6</f>
        <v>Nguyễn Thị Mai Hoa</v>
      </c>
      <c r="D40" s="721"/>
    </row>
  </sheetData>
  <sheetProtection/>
  <mergeCells count="6">
    <mergeCell ref="A2:B2"/>
    <mergeCell ref="A1:C1"/>
    <mergeCell ref="A3:B3"/>
    <mergeCell ref="A40:B40"/>
    <mergeCell ref="A34:B34"/>
    <mergeCell ref="A35:B35"/>
  </mergeCells>
  <printOptions/>
  <pageMargins left="0.41" right="0.25" top="0.33" bottom="0.33" header="0.5" footer="0.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63"/>
  </sheetPr>
  <dimension ref="A1:S541"/>
  <sheetViews>
    <sheetView showZeros="0" view="pageBreakPreview" zoomScale="85" zoomScaleNormal="80" zoomScaleSheetLayoutView="85" zoomScalePageLayoutView="0" workbookViewId="0" topLeftCell="A25">
      <selection activeCell="S7" sqref="S1:S16384"/>
    </sheetView>
  </sheetViews>
  <sheetFormatPr defaultColWidth="9.00390625" defaultRowHeight="15.75"/>
  <cols>
    <col min="1" max="1" width="4.875" style="480" customWidth="1"/>
    <col min="2" max="2" width="23.25390625" style="480" customWidth="1"/>
    <col min="3" max="3" width="12.625" style="480" customWidth="1"/>
    <col min="4" max="4" width="12.125" style="480" customWidth="1"/>
    <col min="5" max="9" width="9.375" style="480" customWidth="1"/>
    <col min="10" max="10" width="10.75390625" style="480" customWidth="1"/>
    <col min="11" max="11" width="12.25390625" style="480" customWidth="1"/>
    <col min="12" max="12" width="11.25390625" style="480" customWidth="1"/>
    <col min="13" max="13" width="11.375" style="479" hidden="1" customWidth="1"/>
    <col min="14" max="14" width="18.125" style="479" hidden="1" customWidth="1"/>
    <col min="15" max="15" width="10.875" style="479" hidden="1" customWidth="1"/>
    <col min="16" max="16" width="13.25390625" style="479" hidden="1" customWidth="1"/>
    <col min="17" max="17" width="0" style="479" hidden="1" customWidth="1"/>
    <col min="18" max="18" width="9.50390625" style="479" hidden="1" customWidth="1"/>
    <col min="19" max="19" width="0.37109375" style="480" customWidth="1"/>
    <col min="20" max="16384" width="9.00390625" style="480" customWidth="1"/>
  </cols>
  <sheetData>
    <row r="1" spans="1:13" ht="21" customHeight="1">
      <c r="A1" s="1536" t="s">
        <v>33</v>
      </c>
      <c r="B1" s="1537"/>
      <c r="C1" s="477"/>
      <c r="D1" s="1532" t="s">
        <v>79</v>
      </c>
      <c r="E1" s="1532"/>
      <c r="F1" s="1532"/>
      <c r="G1" s="1532"/>
      <c r="H1" s="1532"/>
      <c r="I1" s="1532"/>
      <c r="J1" s="1532"/>
      <c r="K1" s="1506" t="s">
        <v>557</v>
      </c>
      <c r="L1" s="1506"/>
      <c r="M1" s="478"/>
    </row>
    <row r="2" spans="1:13" ht="16.5" customHeight="1">
      <c r="A2" s="1495" t="s">
        <v>344</v>
      </c>
      <c r="B2" s="1495"/>
      <c r="C2" s="1495"/>
      <c r="D2" s="1532" t="s">
        <v>216</v>
      </c>
      <c r="E2" s="1532"/>
      <c r="F2" s="1532"/>
      <c r="G2" s="1532"/>
      <c r="H2" s="1532"/>
      <c r="I2" s="1532"/>
      <c r="J2" s="1532"/>
      <c r="K2" s="1533" t="str">
        <f>'Thong tin'!B4</f>
        <v>CTHADS Hải Phòng</v>
      </c>
      <c r="L2" s="1533"/>
      <c r="M2" s="481"/>
    </row>
    <row r="3" spans="1:13" ht="16.5" customHeight="1">
      <c r="A3" s="1495" t="s">
        <v>345</v>
      </c>
      <c r="B3" s="1495"/>
      <c r="C3" s="415"/>
      <c r="D3" s="1505" t="str">
        <f>'Thong tin'!B3</f>
        <v>10 tháng / năm 2017</v>
      </c>
      <c r="E3" s="1505"/>
      <c r="F3" s="1505"/>
      <c r="G3" s="1505"/>
      <c r="H3" s="1505"/>
      <c r="I3" s="1505"/>
      <c r="J3" s="1505"/>
      <c r="K3" s="1506" t="s">
        <v>523</v>
      </c>
      <c r="L3" s="1506"/>
      <c r="M3" s="478"/>
    </row>
    <row r="4" spans="1:13" ht="13.5" customHeight="1">
      <c r="A4" s="436" t="s">
        <v>119</v>
      </c>
      <c r="B4" s="436"/>
      <c r="C4" s="421"/>
      <c r="D4" s="482"/>
      <c r="E4" s="482"/>
      <c r="F4" s="483"/>
      <c r="G4" s="483"/>
      <c r="H4" s="483"/>
      <c r="I4" s="483"/>
      <c r="J4" s="483"/>
      <c r="K4" s="1533" t="s">
        <v>412</v>
      </c>
      <c r="L4" s="1533"/>
      <c r="M4" s="481"/>
    </row>
    <row r="5" spans="1:13" ht="14.25" customHeight="1">
      <c r="A5" s="482"/>
      <c r="B5" s="482" t="s">
        <v>94</v>
      </c>
      <c r="C5" s="482"/>
      <c r="D5" s="482"/>
      <c r="E5" s="1535" t="s">
        <v>522</v>
      </c>
      <c r="F5" s="1535"/>
      <c r="G5" s="1535"/>
      <c r="H5" s="1535"/>
      <c r="I5" s="1535"/>
      <c r="J5" s="482"/>
      <c r="K5" s="1534" t="s">
        <v>195</v>
      </c>
      <c r="L5" s="1534"/>
      <c r="M5" s="478"/>
    </row>
    <row r="6" spans="1:16" ht="20.25" customHeight="1">
      <c r="A6" s="1143" t="s">
        <v>71</v>
      </c>
      <c r="B6" s="1144"/>
      <c r="C6" s="1509" t="s">
        <v>38</v>
      </c>
      <c r="D6" s="1519" t="s">
        <v>339</v>
      </c>
      <c r="E6" s="1519"/>
      <c r="F6" s="1519"/>
      <c r="G6" s="1519"/>
      <c r="H6" s="1519"/>
      <c r="I6" s="1519"/>
      <c r="J6" s="1519"/>
      <c r="K6" s="1519"/>
      <c r="L6" s="1519"/>
      <c r="M6" s="481"/>
      <c r="N6" s="1559" t="s">
        <v>519</v>
      </c>
      <c r="O6" s="1559"/>
      <c r="P6" s="1559"/>
    </row>
    <row r="7" spans="1:13" ht="20.25" customHeight="1">
      <c r="A7" s="1145"/>
      <c r="B7" s="1146"/>
      <c r="C7" s="1509"/>
      <c r="D7" s="1520" t="s">
        <v>207</v>
      </c>
      <c r="E7" s="1521"/>
      <c r="F7" s="1521"/>
      <c r="G7" s="1521"/>
      <c r="H7" s="1521"/>
      <c r="I7" s="1521"/>
      <c r="J7" s="1522"/>
      <c r="K7" s="1523" t="s">
        <v>208</v>
      </c>
      <c r="L7" s="1523" t="s">
        <v>209</v>
      </c>
      <c r="M7" s="478"/>
    </row>
    <row r="8" spans="1:13" ht="20.25" customHeight="1">
      <c r="A8" s="1145"/>
      <c r="B8" s="1146"/>
      <c r="C8" s="1509"/>
      <c r="D8" s="1510" t="s">
        <v>37</v>
      </c>
      <c r="E8" s="1528" t="s">
        <v>7</v>
      </c>
      <c r="F8" s="1529"/>
      <c r="G8" s="1529"/>
      <c r="H8" s="1529"/>
      <c r="I8" s="1529"/>
      <c r="J8" s="1530"/>
      <c r="K8" s="1524"/>
      <c r="L8" s="1526"/>
      <c r="M8" s="478"/>
    </row>
    <row r="9" spans="1:16" ht="20.25" customHeight="1">
      <c r="A9" s="1513"/>
      <c r="B9" s="1514"/>
      <c r="C9" s="1509"/>
      <c r="D9" s="1510"/>
      <c r="E9" s="545" t="s">
        <v>210</v>
      </c>
      <c r="F9" s="545" t="s">
        <v>211</v>
      </c>
      <c r="G9" s="545" t="s">
        <v>212</v>
      </c>
      <c r="H9" s="545" t="s">
        <v>213</v>
      </c>
      <c r="I9" s="545" t="s">
        <v>346</v>
      </c>
      <c r="J9" s="545" t="s">
        <v>214</v>
      </c>
      <c r="K9" s="1525"/>
      <c r="L9" s="1527"/>
      <c r="M9" s="1507" t="s">
        <v>502</v>
      </c>
      <c r="N9" s="1507"/>
      <c r="O9" s="1507"/>
      <c r="P9" s="1507"/>
    </row>
    <row r="10" spans="1:18" s="490" customFormat="1" ht="20.25" customHeight="1">
      <c r="A10" s="1511" t="s">
        <v>6</v>
      </c>
      <c r="B10" s="1512"/>
      <c r="C10" s="485">
        <v>1</v>
      </c>
      <c r="D10" s="486">
        <v>2</v>
      </c>
      <c r="E10" s="485">
        <v>3</v>
      </c>
      <c r="F10" s="486">
        <v>4</v>
      </c>
      <c r="G10" s="485">
        <v>5</v>
      </c>
      <c r="H10" s="486">
        <v>6</v>
      </c>
      <c r="I10" s="485">
        <v>7</v>
      </c>
      <c r="J10" s="486">
        <v>8</v>
      </c>
      <c r="K10" s="485">
        <v>9</v>
      </c>
      <c r="L10" s="486">
        <v>10</v>
      </c>
      <c r="M10" s="487" t="s">
        <v>503</v>
      </c>
      <c r="N10" s="488" t="s">
        <v>506</v>
      </c>
      <c r="O10" s="488" t="s">
        <v>504</v>
      </c>
      <c r="P10" s="488" t="s">
        <v>505</v>
      </c>
      <c r="Q10" s="489"/>
      <c r="R10" s="489"/>
    </row>
    <row r="11" spans="1:18" s="491" customFormat="1" ht="30" customHeight="1">
      <c r="A11" s="503" t="s">
        <v>0</v>
      </c>
      <c r="B11" s="429" t="s">
        <v>131</v>
      </c>
      <c r="C11" s="1904">
        <v>4551083449</v>
      </c>
      <c r="D11" s="1904">
        <v>319921551</v>
      </c>
      <c r="E11" s="1904">
        <v>70125902</v>
      </c>
      <c r="F11" s="1904">
        <v>512812</v>
      </c>
      <c r="G11" s="1904">
        <v>43099736</v>
      </c>
      <c r="H11" s="1904">
        <v>14040929</v>
      </c>
      <c r="I11" s="1904">
        <v>78830106</v>
      </c>
      <c r="J11" s="1904">
        <v>113312066</v>
      </c>
      <c r="K11" s="1904">
        <v>3992461493</v>
      </c>
      <c r="L11" s="1904">
        <v>238700405</v>
      </c>
      <c r="M11" s="404">
        <f>'03'!C11+'04'!C11</f>
        <v>4551083449</v>
      </c>
      <c r="N11" s="404">
        <f>C11-M11</f>
        <v>0</v>
      </c>
      <c r="O11" s="404">
        <f>'07'!C11</f>
        <v>4551083449</v>
      </c>
      <c r="P11" s="404">
        <f>C11-O11</f>
        <v>0</v>
      </c>
      <c r="Q11" s="390"/>
      <c r="R11" s="390"/>
    </row>
    <row r="12" spans="1:18" s="491" customFormat="1" ht="30" customHeight="1">
      <c r="A12" s="504">
        <v>1</v>
      </c>
      <c r="B12" s="432" t="s">
        <v>132</v>
      </c>
      <c r="C12" s="1904">
        <v>3387427825</v>
      </c>
      <c r="D12" s="1903">
        <v>161307391</v>
      </c>
      <c r="E12" s="1903">
        <v>48888660</v>
      </c>
      <c r="F12" s="1903">
        <v>107224</v>
      </c>
      <c r="G12" s="1903">
        <v>34654820</v>
      </c>
      <c r="H12" s="1903">
        <v>8715729</v>
      </c>
      <c r="I12" s="1903">
        <v>48524997</v>
      </c>
      <c r="J12" s="1903">
        <v>20415961</v>
      </c>
      <c r="K12" s="1903">
        <v>3082006506</v>
      </c>
      <c r="L12" s="1903">
        <v>144113928</v>
      </c>
      <c r="M12" s="409">
        <f>'03'!C12+'04'!C12</f>
        <v>3387427825</v>
      </c>
      <c r="N12" s="409">
        <f aca="true" t="shared" si="0" ref="N12:N26">C12-M12</f>
        <v>0</v>
      </c>
      <c r="O12" s="409">
        <f>'07'!D11</f>
        <v>3387427825</v>
      </c>
      <c r="P12" s="409">
        <f aca="true" t="shared" si="1" ref="P12:P26">C12-O12</f>
        <v>0</v>
      </c>
      <c r="Q12" s="402"/>
      <c r="R12" s="430"/>
    </row>
    <row r="13" spans="1:18" s="491" customFormat="1" ht="30" customHeight="1">
      <c r="A13" s="504">
        <v>2</v>
      </c>
      <c r="B13" s="432" t="s">
        <v>133</v>
      </c>
      <c r="C13" s="1904">
        <v>1163655624</v>
      </c>
      <c r="D13" s="1903">
        <v>158614160</v>
      </c>
      <c r="E13" s="1903">
        <v>21237242</v>
      </c>
      <c r="F13" s="1903">
        <v>405588</v>
      </c>
      <c r="G13" s="1903">
        <v>8444916</v>
      </c>
      <c r="H13" s="1903">
        <v>5325200</v>
      </c>
      <c r="I13" s="1903">
        <v>30305109</v>
      </c>
      <c r="J13" s="1903">
        <v>92896105</v>
      </c>
      <c r="K13" s="1903">
        <v>910454987</v>
      </c>
      <c r="L13" s="1903">
        <v>94586477</v>
      </c>
      <c r="M13" s="409">
        <f>'03'!C13+'04'!C13</f>
        <v>1163655624</v>
      </c>
      <c r="N13" s="409">
        <f t="shared" si="0"/>
        <v>0</v>
      </c>
      <c r="O13" s="409">
        <f>'07'!E11</f>
        <v>1163655624</v>
      </c>
      <c r="P13" s="409">
        <f t="shared" si="1"/>
        <v>0</v>
      </c>
      <c r="Q13" s="402"/>
      <c r="R13" s="430"/>
    </row>
    <row r="14" spans="1:18" s="491" customFormat="1" ht="30" customHeight="1">
      <c r="A14" s="505" t="s">
        <v>1</v>
      </c>
      <c r="B14" s="395" t="s">
        <v>134</v>
      </c>
      <c r="C14" s="1904">
        <v>333883421</v>
      </c>
      <c r="D14" s="1903">
        <v>16628010</v>
      </c>
      <c r="E14" s="1903">
        <v>1583155</v>
      </c>
      <c r="F14" s="1903">
        <v>0</v>
      </c>
      <c r="G14" s="1903">
        <v>601356</v>
      </c>
      <c r="H14" s="1903">
        <v>2000</v>
      </c>
      <c r="I14" s="1903">
        <v>4612555</v>
      </c>
      <c r="J14" s="1903">
        <v>9828944</v>
      </c>
      <c r="K14" s="1903">
        <v>312505105</v>
      </c>
      <c r="L14" s="1903">
        <v>4750306</v>
      </c>
      <c r="M14" s="409">
        <f>'03'!C14+'04'!C14</f>
        <v>333883421</v>
      </c>
      <c r="N14" s="409">
        <f t="shared" si="0"/>
        <v>0</v>
      </c>
      <c r="O14" s="409">
        <f>'07'!F11</f>
        <v>333883421</v>
      </c>
      <c r="P14" s="409">
        <f t="shared" si="1"/>
        <v>0</v>
      </c>
      <c r="Q14" s="390"/>
      <c r="R14" s="430"/>
    </row>
    <row r="15" spans="1:18" s="491" customFormat="1" ht="30" customHeight="1">
      <c r="A15" s="505" t="s">
        <v>9</v>
      </c>
      <c r="B15" s="395" t="s">
        <v>135</v>
      </c>
      <c r="C15" s="1904">
        <v>41129416</v>
      </c>
      <c r="D15" s="1903">
        <v>122684</v>
      </c>
      <c r="E15" s="1903">
        <v>122684</v>
      </c>
      <c r="F15" s="1903">
        <v>0</v>
      </c>
      <c r="G15" s="1903">
        <v>0</v>
      </c>
      <c r="H15" s="1903">
        <v>0</v>
      </c>
      <c r="I15" s="1903">
        <v>0</v>
      </c>
      <c r="J15" s="1903">
        <v>0</v>
      </c>
      <c r="K15" s="1903">
        <v>41006732</v>
      </c>
      <c r="L15" s="1903">
        <v>0</v>
      </c>
      <c r="M15" s="409">
        <f>'03'!C15+'04'!C15</f>
        <v>41129416</v>
      </c>
      <c r="N15" s="409">
        <f t="shared" si="0"/>
        <v>0</v>
      </c>
      <c r="O15" s="409">
        <f>'07'!G11</f>
        <v>41129416</v>
      </c>
      <c r="P15" s="409">
        <f t="shared" si="1"/>
        <v>0</v>
      </c>
      <c r="Q15" s="390"/>
      <c r="R15" s="390"/>
    </row>
    <row r="16" spans="1:18" s="491" customFormat="1" ht="30" customHeight="1">
      <c r="A16" s="505" t="s">
        <v>136</v>
      </c>
      <c r="B16" s="395" t="s">
        <v>137</v>
      </c>
      <c r="C16" s="1904">
        <v>4217200028</v>
      </c>
      <c r="D16" s="1904">
        <v>303293541</v>
      </c>
      <c r="E16" s="1904">
        <v>68542747</v>
      </c>
      <c r="F16" s="1904">
        <v>512812</v>
      </c>
      <c r="G16" s="1904">
        <v>42498380</v>
      </c>
      <c r="H16" s="1904">
        <v>14038929</v>
      </c>
      <c r="I16" s="1904">
        <v>74217551</v>
      </c>
      <c r="J16" s="1904">
        <v>103483122</v>
      </c>
      <c r="K16" s="1904">
        <v>3679956388</v>
      </c>
      <c r="L16" s="1904">
        <v>233950099</v>
      </c>
      <c r="M16" s="404">
        <f>'03'!C16+'04'!C16</f>
        <v>4217200028</v>
      </c>
      <c r="N16" s="404">
        <f t="shared" si="0"/>
        <v>0</v>
      </c>
      <c r="O16" s="404">
        <f>'07'!H11</f>
        <v>4217200028</v>
      </c>
      <c r="P16" s="404">
        <f t="shared" si="1"/>
        <v>0</v>
      </c>
      <c r="Q16" s="390"/>
      <c r="R16" s="390"/>
    </row>
    <row r="17" spans="1:18" s="491" customFormat="1" ht="30" customHeight="1">
      <c r="A17" s="505" t="s">
        <v>52</v>
      </c>
      <c r="B17" s="433" t="s">
        <v>138</v>
      </c>
      <c r="C17" s="1904">
        <v>3060087730</v>
      </c>
      <c r="D17" s="1904">
        <v>185045298</v>
      </c>
      <c r="E17" s="1904">
        <v>42850583</v>
      </c>
      <c r="F17" s="1904">
        <v>448312</v>
      </c>
      <c r="G17" s="1904">
        <v>12710129</v>
      </c>
      <c r="H17" s="1904">
        <v>7144804</v>
      </c>
      <c r="I17" s="1904">
        <v>23604163</v>
      </c>
      <c r="J17" s="1904">
        <v>98287307</v>
      </c>
      <c r="K17" s="1904">
        <v>2687951978</v>
      </c>
      <c r="L17" s="1904">
        <v>187090454</v>
      </c>
      <c r="M17" s="404">
        <f>'03'!C17+'04'!C17</f>
        <v>3060087730</v>
      </c>
      <c r="N17" s="404">
        <f t="shared" si="0"/>
        <v>0</v>
      </c>
      <c r="O17" s="404">
        <f>'07'!I11</f>
        <v>3060087730</v>
      </c>
      <c r="P17" s="404">
        <f t="shared" si="1"/>
        <v>0</v>
      </c>
      <c r="Q17" s="390"/>
      <c r="R17" s="390"/>
    </row>
    <row r="18" spans="1:19" s="491" customFormat="1" ht="30" customHeight="1">
      <c r="A18" s="504" t="s">
        <v>54</v>
      </c>
      <c r="B18" s="432" t="s">
        <v>139</v>
      </c>
      <c r="C18" s="1904">
        <v>455165909</v>
      </c>
      <c r="D18" s="1903">
        <v>104997031</v>
      </c>
      <c r="E18" s="1905">
        <v>11636341</v>
      </c>
      <c r="F18" s="1905">
        <v>185207</v>
      </c>
      <c r="G18" s="1905">
        <v>3251580</v>
      </c>
      <c r="H18" s="1905">
        <v>2126930</v>
      </c>
      <c r="I18" s="1905">
        <v>1136105</v>
      </c>
      <c r="J18" s="1905">
        <v>86660868</v>
      </c>
      <c r="K18" s="1905">
        <v>328016532</v>
      </c>
      <c r="L18" s="1905">
        <v>22152346</v>
      </c>
      <c r="M18" s="409">
        <f>'03'!C18+'04'!C18</f>
        <v>455165909</v>
      </c>
      <c r="N18" s="409">
        <f t="shared" si="0"/>
        <v>0</v>
      </c>
      <c r="O18" s="409">
        <f>'07'!J11</f>
        <v>455165909</v>
      </c>
      <c r="P18" s="409">
        <f t="shared" si="1"/>
        <v>0</v>
      </c>
      <c r="Q18" s="390"/>
      <c r="R18" s="390"/>
      <c r="S18" s="491">
        <f>4770342+228596+29461370+1474547+2225+619439</f>
        <v>36556519</v>
      </c>
    </row>
    <row r="19" spans="1:18" s="491" customFormat="1" ht="30" customHeight="1">
      <c r="A19" s="504" t="s">
        <v>55</v>
      </c>
      <c r="B19" s="432" t="s">
        <v>140</v>
      </c>
      <c r="C19" s="1904">
        <v>566999251</v>
      </c>
      <c r="D19" s="1903">
        <v>1075203</v>
      </c>
      <c r="E19" s="1905">
        <v>410967</v>
      </c>
      <c r="F19" s="1905">
        <v>7186</v>
      </c>
      <c r="G19" s="1905">
        <v>640482</v>
      </c>
      <c r="H19" s="1905">
        <v>1540</v>
      </c>
      <c r="I19" s="1905">
        <v>1866</v>
      </c>
      <c r="J19" s="1905">
        <v>13162</v>
      </c>
      <c r="K19" s="1905">
        <v>554946742</v>
      </c>
      <c r="L19" s="1905">
        <v>10977306</v>
      </c>
      <c r="M19" s="409">
        <f>'03'!C19+'04'!C19</f>
        <v>566999251</v>
      </c>
      <c r="N19" s="409">
        <f t="shared" si="0"/>
        <v>0</v>
      </c>
      <c r="O19" s="409">
        <f>'07'!K11</f>
        <v>566999251</v>
      </c>
      <c r="P19" s="409">
        <f t="shared" si="1"/>
        <v>0</v>
      </c>
      <c r="Q19" s="390"/>
      <c r="R19" s="390"/>
    </row>
    <row r="20" spans="1:18" s="491" customFormat="1" ht="30" customHeight="1">
      <c r="A20" s="504" t="s">
        <v>141</v>
      </c>
      <c r="B20" s="432" t="s">
        <v>202</v>
      </c>
      <c r="C20" s="1904">
        <v>34448</v>
      </c>
      <c r="D20" s="1903">
        <v>34448</v>
      </c>
      <c r="E20" s="1905">
        <v>24890</v>
      </c>
      <c r="F20" s="1905">
        <v>0</v>
      </c>
      <c r="G20" s="1905">
        <v>5168</v>
      </c>
      <c r="H20" s="1905">
        <v>4390</v>
      </c>
      <c r="I20" s="1905">
        <v>0</v>
      </c>
      <c r="J20" s="1905">
        <v>0</v>
      </c>
      <c r="K20" s="1905">
        <v>0</v>
      </c>
      <c r="L20" s="1905">
        <v>0</v>
      </c>
      <c r="M20" s="409">
        <f>'03'!C20</f>
        <v>34448</v>
      </c>
      <c r="N20" s="409">
        <f t="shared" si="0"/>
        <v>0</v>
      </c>
      <c r="O20" s="409">
        <f>'07'!L11</f>
        <v>34448</v>
      </c>
      <c r="P20" s="409">
        <f t="shared" si="1"/>
        <v>0</v>
      </c>
      <c r="Q20" s="390"/>
      <c r="R20" s="390"/>
    </row>
    <row r="21" spans="1:18" s="491" customFormat="1" ht="30" customHeight="1">
      <c r="A21" s="504" t="s">
        <v>143</v>
      </c>
      <c r="B21" s="432" t="s">
        <v>142</v>
      </c>
      <c r="C21" s="1904">
        <v>1980033079</v>
      </c>
      <c r="D21" s="1903">
        <v>78457078</v>
      </c>
      <c r="E21" s="1905">
        <v>30331907</v>
      </c>
      <c r="F21" s="1905">
        <v>255919</v>
      </c>
      <c r="G21" s="1905">
        <v>8777839</v>
      </c>
      <c r="H21" s="1905">
        <v>5011944</v>
      </c>
      <c r="I21" s="1905">
        <v>22466192</v>
      </c>
      <c r="J21" s="1905">
        <v>11613277</v>
      </c>
      <c r="K21" s="1905">
        <v>1749805404</v>
      </c>
      <c r="L21" s="1905">
        <v>151770597</v>
      </c>
      <c r="M21" s="409">
        <f>'03'!C21+'04'!C20</f>
        <v>1980033079</v>
      </c>
      <c r="N21" s="409">
        <f t="shared" si="0"/>
        <v>0</v>
      </c>
      <c r="O21" s="409">
        <f>'07'!M11</f>
        <v>1980033079</v>
      </c>
      <c r="P21" s="409">
        <f t="shared" si="1"/>
        <v>0</v>
      </c>
      <c r="Q21" s="390"/>
      <c r="R21" s="390"/>
    </row>
    <row r="22" spans="1:18" s="491" customFormat="1" ht="30" customHeight="1">
      <c r="A22" s="504" t="s">
        <v>145</v>
      </c>
      <c r="B22" s="432" t="s">
        <v>144</v>
      </c>
      <c r="C22" s="1904">
        <v>15121353</v>
      </c>
      <c r="D22" s="1903">
        <v>69435</v>
      </c>
      <c r="E22" s="1905">
        <v>34375</v>
      </c>
      <c r="F22" s="1905">
        <v>0</v>
      </c>
      <c r="G22" s="1905">
        <v>35060</v>
      </c>
      <c r="H22" s="1905">
        <v>0</v>
      </c>
      <c r="I22" s="1905">
        <v>0</v>
      </c>
      <c r="J22" s="1905">
        <v>0</v>
      </c>
      <c r="K22" s="1905">
        <v>14318787</v>
      </c>
      <c r="L22" s="1905">
        <v>733131</v>
      </c>
      <c r="M22" s="409">
        <f>'03'!C22+'04'!C21</f>
        <v>15121353</v>
      </c>
      <c r="N22" s="409">
        <f t="shared" si="0"/>
        <v>0</v>
      </c>
      <c r="O22" s="409">
        <f>'07'!N11</f>
        <v>15121353</v>
      </c>
      <c r="P22" s="409">
        <f t="shared" si="1"/>
        <v>0</v>
      </c>
      <c r="Q22" s="390"/>
      <c r="R22" s="390"/>
    </row>
    <row r="23" spans="1:18" s="491" customFormat="1" ht="30" customHeight="1">
      <c r="A23" s="504" t="s">
        <v>147</v>
      </c>
      <c r="B23" s="432" t="s">
        <v>146</v>
      </c>
      <c r="C23" s="1904">
        <v>37559191</v>
      </c>
      <c r="D23" s="1903">
        <v>293793</v>
      </c>
      <c r="E23" s="1905">
        <v>293793</v>
      </c>
      <c r="F23" s="1905">
        <v>0</v>
      </c>
      <c r="G23" s="1905">
        <v>0</v>
      </c>
      <c r="H23" s="1905">
        <v>0</v>
      </c>
      <c r="I23" s="1905">
        <v>0</v>
      </c>
      <c r="J23" s="1905">
        <v>0</v>
      </c>
      <c r="K23" s="1905">
        <v>37265398</v>
      </c>
      <c r="L23" s="1905">
        <v>0</v>
      </c>
      <c r="M23" s="409">
        <f>'03'!C23+'04'!C22</f>
        <v>37559191</v>
      </c>
      <c r="N23" s="409">
        <f t="shared" si="0"/>
        <v>0</v>
      </c>
      <c r="O23" s="409">
        <f>'07'!O11</f>
        <v>37559191</v>
      </c>
      <c r="P23" s="409">
        <f t="shared" si="1"/>
        <v>0</v>
      </c>
      <c r="Q23" s="390"/>
      <c r="R23" s="390"/>
    </row>
    <row r="24" spans="1:18" s="491" customFormat="1" ht="30" customHeight="1">
      <c r="A24" s="504" t="s">
        <v>149</v>
      </c>
      <c r="B24" s="434" t="s">
        <v>148</v>
      </c>
      <c r="C24" s="1904">
        <v>0</v>
      </c>
      <c r="D24" s="1903">
        <v>0</v>
      </c>
      <c r="E24" s="1905">
        <v>0</v>
      </c>
      <c r="F24" s="1905">
        <v>0</v>
      </c>
      <c r="G24" s="1905">
        <v>0</v>
      </c>
      <c r="H24" s="1905">
        <v>0</v>
      </c>
      <c r="I24" s="1905">
        <v>0</v>
      </c>
      <c r="J24" s="1905">
        <v>0</v>
      </c>
      <c r="K24" s="1905">
        <v>0</v>
      </c>
      <c r="L24" s="1905">
        <v>0</v>
      </c>
      <c r="M24" s="409">
        <f>'03'!C24+'04'!C23</f>
        <v>0</v>
      </c>
      <c r="N24" s="409">
        <f t="shared" si="0"/>
        <v>0</v>
      </c>
      <c r="O24" s="409">
        <f>'07'!P11</f>
        <v>0</v>
      </c>
      <c r="P24" s="409">
        <f t="shared" si="1"/>
        <v>0</v>
      </c>
      <c r="Q24" s="390"/>
      <c r="R24" s="390"/>
    </row>
    <row r="25" spans="1:18" s="491" customFormat="1" ht="30" customHeight="1">
      <c r="A25" s="504" t="s">
        <v>186</v>
      </c>
      <c r="B25" s="432" t="s">
        <v>150</v>
      </c>
      <c r="C25" s="1904">
        <v>5174499</v>
      </c>
      <c r="D25" s="1903">
        <v>118310</v>
      </c>
      <c r="E25" s="1905">
        <v>118310</v>
      </c>
      <c r="F25" s="1905">
        <v>0</v>
      </c>
      <c r="G25" s="1905">
        <v>0</v>
      </c>
      <c r="H25" s="1905">
        <v>0</v>
      </c>
      <c r="I25" s="1905">
        <v>0</v>
      </c>
      <c r="J25" s="1905">
        <v>0</v>
      </c>
      <c r="K25" s="1905">
        <v>3599115</v>
      </c>
      <c r="L25" s="1905">
        <v>1457074</v>
      </c>
      <c r="M25" s="409">
        <f>'03'!C25+'04'!C24</f>
        <v>5174499</v>
      </c>
      <c r="N25" s="409">
        <f t="shared" si="0"/>
        <v>0</v>
      </c>
      <c r="O25" s="409">
        <f>'07'!Q11</f>
        <v>5174499</v>
      </c>
      <c r="P25" s="409">
        <f t="shared" si="1"/>
        <v>0</v>
      </c>
      <c r="Q25" s="390"/>
      <c r="R25" s="390"/>
    </row>
    <row r="26" spans="1:18" s="491" customFormat="1" ht="30" customHeight="1">
      <c r="A26" s="505" t="s">
        <v>53</v>
      </c>
      <c r="B26" s="395" t="s">
        <v>151</v>
      </c>
      <c r="C26" s="1904">
        <v>1157112298</v>
      </c>
      <c r="D26" s="1903">
        <v>118248243</v>
      </c>
      <c r="E26" s="1905">
        <v>25692164</v>
      </c>
      <c r="F26" s="1905">
        <v>64500</v>
      </c>
      <c r="G26" s="1905">
        <v>29788251</v>
      </c>
      <c r="H26" s="1905">
        <v>6894125</v>
      </c>
      <c r="I26" s="1905">
        <v>50613388</v>
      </c>
      <c r="J26" s="1905">
        <v>5195815</v>
      </c>
      <c r="K26" s="1905">
        <v>992004410</v>
      </c>
      <c r="L26" s="1905">
        <v>46859645</v>
      </c>
      <c r="M26" s="404">
        <f>'03'!C26+'04'!C25</f>
        <v>1157112298</v>
      </c>
      <c r="N26" s="404">
        <f t="shared" si="0"/>
        <v>0</v>
      </c>
      <c r="O26" s="404">
        <f>'07'!R11</f>
        <v>1157112298</v>
      </c>
      <c r="P26" s="404">
        <f t="shared" si="1"/>
        <v>0</v>
      </c>
      <c r="Q26" s="390"/>
      <c r="R26" s="390"/>
    </row>
    <row r="27" spans="1:18" s="491" customFormat="1" ht="30" customHeight="1">
      <c r="A27" s="529" t="s">
        <v>555</v>
      </c>
      <c r="B27" s="492" t="s">
        <v>215</v>
      </c>
      <c r="C27" s="706">
        <f>(C18+C19+C20)/C17</f>
        <v>0.3340425824981168</v>
      </c>
      <c r="D27" s="706">
        <f aca="true" t="shared" si="2" ref="D27:L27">(D18+D19+D20)/D17</f>
        <v>0.573409230857625</v>
      </c>
      <c r="E27" s="706">
        <f t="shared" si="2"/>
        <v>0.28172774218731167</v>
      </c>
      <c r="F27" s="706">
        <f t="shared" si="2"/>
        <v>0.42914978854012387</v>
      </c>
      <c r="G27" s="706">
        <f t="shared" si="2"/>
        <v>0.3066239532265959</v>
      </c>
      <c r="H27" s="706">
        <f t="shared" si="2"/>
        <v>0.2985190356516428</v>
      </c>
      <c r="I27" s="706">
        <f t="shared" si="2"/>
        <v>0.0482106059003236</v>
      </c>
      <c r="J27" s="706">
        <f t="shared" si="2"/>
        <v>0.8818435731482601</v>
      </c>
      <c r="K27" s="706">
        <f t="shared" si="2"/>
        <v>0.3284892294307201</v>
      </c>
      <c r="L27" s="706">
        <f t="shared" si="2"/>
        <v>0.17707825969570848</v>
      </c>
      <c r="M27" s="425"/>
      <c r="N27" s="493"/>
      <c r="O27" s="493"/>
      <c r="P27" s="493"/>
      <c r="Q27" s="390"/>
      <c r="R27" s="390"/>
    </row>
    <row r="28" spans="1:18" s="491" customFormat="1" ht="30" customHeight="1" hidden="1">
      <c r="A28" s="1515" t="s">
        <v>500</v>
      </c>
      <c r="B28" s="1515"/>
      <c r="C28" s="409">
        <f>C11-C14-C15-C16</f>
        <v>-41129416</v>
      </c>
      <c r="D28" s="409">
        <f aca="true" t="shared" si="3" ref="D28:L28">D11-D14-D15-D16</f>
        <v>-122684</v>
      </c>
      <c r="E28" s="409">
        <f t="shared" si="3"/>
        <v>-122684</v>
      </c>
      <c r="F28" s="409">
        <f t="shared" si="3"/>
        <v>0</v>
      </c>
      <c r="G28" s="409">
        <f t="shared" si="3"/>
        <v>0</v>
      </c>
      <c r="H28" s="409">
        <f t="shared" si="3"/>
        <v>0</v>
      </c>
      <c r="I28" s="409">
        <f t="shared" si="3"/>
        <v>0</v>
      </c>
      <c r="J28" s="409">
        <f t="shared" si="3"/>
        <v>0</v>
      </c>
      <c r="K28" s="409">
        <f t="shared" si="3"/>
        <v>-41006732</v>
      </c>
      <c r="L28" s="409">
        <f t="shared" si="3"/>
        <v>0</v>
      </c>
      <c r="M28" s="425"/>
      <c r="N28" s="493"/>
      <c r="O28" s="493"/>
      <c r="P28" s="493"/>
      <c r="Q28" s="390"/>
      <c r="R28" s="390"/>
    </row>
    <row r="29" spans="1:18" s="491" customFormat="1" ht="30" customHeight="1" hidden="1">
      <c r="A29" s="1516" t="s">
        <v>501</v>
      </c>
      <c r="B29" s="1516"/>
      <c r="C29" s="409">
        <f>C16-C17-C26</f>
        <v>0</v>
      </c>
      <c r="D29" s="409">
        <f aca="true" t="shared" si="4" ref="D29:L29">D16-D17-D26</f>
        <v>0</v>
      </c>
      <c r="E29" s="409">
        <f t="shared" si="4"/>
        <v>0</v>
      </c>
      <c r="F29" s="409">
        <f t="shared" si="4"/>
        <v>0</v>
      </c>
      <c r="G29" s="409">
        <f t="shared" si="4"/>
        <v>0</v>
      </c>
      <c r="H29" s="409">
        <f t="shared" si="4"/>
        <v>0</v>
      </c>
      <c r="I29" s="409">
        <f t="shared" si="4"/>
        <v>0</v>
      </c>
      <c r="J29" s="409">
        <f t="shared" si="4"/>
        <v>0</v>
      </c>
      <c r="K29" s="409">
        <f t="shared" si="4"/>
        <v>0</v>
      </c>
      <c r="L29" s="409">
        <f t="shared" si="4"/>
        <v>0</v>
      </c>
      <c r="M29" s="425"/>
      <c r="N29" s="493"/>
      <c r="O29" s="493"/>
      <c r="P29" s="493"/>
      <c r="Q29" s="390"/>
      <c r="R29" s="390"/>
    </row>
    <row r="30" spans="1:18" s="469" customFormat="1" ht="27.75" customHeight="1">
      <c r="A30" s="478"/>
      <c r="B30" s="494"/>
      <c r="C30" s="494"/>
      <c r="D30" s="466"/>
      <c r="E30" s="466"/>
      <c r="F30" s="466"/>
      <c r="G30" s="539"/>
      <c r="H30" s="539"/>
      <c r="I30" s="1518" t="str">
        <f>'Thong tin'!B8</f>
        <v>Hải Phòng, ngày 03 tháng 8 năm 2017</v>
      </c>
      <c r="J30" s="1518"/>
      <c r="K30" s="1518"/>
      <c r="L30" s="1518"/>
      <c r="M30" s="481"/>
      <c r="N30" s="481"/>
      <c r="O30" s="481"/>
      <c r="P30" s="481"/>
      <c r="Q30" s="481"/>
      <c r="R30" s="481"/>
    </row>
    <row r="31" spans="1:18" s="469" customFormat="1" ht="21" customHeight="1">
      <c r="A31" s="1485" t="s">
        <v>4</v>
      </c>
      <c r="B31" s="1485"/>
      <c r="C31" s="1485"/>
      <c r="D31" s="1485"/>
      <c r="E31" s="531"/>
      <c r="F31" s="531"/>
      <c r="G31" s="540"/>
      <c r="H31" s="1531" t="str">
        <f>'Thong tin'!B7</f>
        <v>
PHÓ CỤC TRƯỞNG</v>
      </c>
      <c r="I31" s="1531"/>
      <c r="J31" s="1531"/>
      <c r="K31" s="1531"/>
      <c r="L31" s="1531"/>
      <c r="M31" s="481"/>
      <c r="N31" s="481"/>
      <c r="O31" s="481"/>
      <c r="P31" s="481"/>
      <c r="Q31" s="481"/>
      <c r="R31" s="481"/>
    </row>
    <row r="32" spans="1:18" s="469" customFormat="1" ht="15" customHeight="1">
      <c r="A32" s="525"/>
      <c r="B32" s="1508"/>
      <c r="C32" s="1508"/>
      <c r="D32" s="541"/>
      <c r="E32" s="541"/>
      <c r="F32" s="531"/>
      <c r="G32" s="1517"/>
      <c r="H32" s="1517"/>
      <c r="I32" s="1517"/>
      <c r="J32" s="1517"/>
      <c r="K32" s="1517"/>
      <c r="L32" s="1517"/>
      <c r="M32" s="496"/>
      <c r="N32" s="496"/>
      <c r="O32" s="496"/>
      <c r="P32" s="496"/>
      <c r="Q32" s="481"/>
      <c r="R32" s="481"/>
    </row>
    <row r="33" spans="1:18" s="469" customFormat="1" ht="18.75">
      <c r="A33" s="525"/>
      <c r="B33" s="534"/>
      <c r="C33" s="528"/>
      <c r="D33" s="531"/>
      <c r="E33" s="531"/>
      <c r="F33" s="531"/>
      <c r="G33" s="542"/>
      <c r="H33" s="542"/>
      <c r="I33" s="542"/>
      <c r="J33" s="542"/>
      <c r="K33" s="542"/>
      <c r="L33" s="542"/>
      <c r="M33" s="481"/>
      <c r="N33" s="481"/>
      <c r="O33" s="481"/>
      <c r="P33" s="481"/>
      <c r="Q33" s="481"/>
      <c r="R33" s="481"/>
    </row>
    <row r="34" spans="1:18" s="438" customFormat="1" ht="15.75">
      <c r="A34" s="543"/>
      <c r="B34" s="1538"/>
      <c r="C34" s="1538"/>
      <c r="D34" s="527"/>
      <c r="E34" s="527"/>
      <c r="F34" s="527"/>
      <c r="G34" s="527"/>
      <c r="H34" s="527"/>
      <c r="I34" s="527"/>
      <c r="J34" s="527"/>
      <c r="K34" s="527"/>
      <c r="L34" s="527"/>
      <c r="M34" s="451"/>
      <c r="N34" s="437"/>
      <c r="O34" s="437"/>
      <c r="P34" s="437"/>
      <c r="Q34" s="437"/>
      <c r="R34" s="437"/>
    </row>
    <row r="35" spans="1:18" s="438" customFormat="1" ht="15">
      <c r="A35" s="544"/>
      <c r="B35" s="544"/>
      <c r="C35" s="646">
        <f>C11-C14-C16</f>
        <v>0</v>
      </c>
      <c r="D35" s="544"/>
      <c r="E35" s="544"/>
      <c r="F35" s="544"/>
      <c r="G35" s="544"/>
      <c r="H35" s="544"/>
      <c r="I35" s="544"/>
      <c r="J35" s="544"/>
      <c r="K35" s="544"/>
      <c r="L35" s="544"/>
      <c r="M35" s="437"/>
      <c r="N35" s="437"/>
      <c r="O35" s="437"/>
      <c r="P35" s="437"/>
      <c r="Q35" s="437"/>
      <c r="R35" s="437"/>
    </row>
    <row r="36" spans="1:18" s="438" customFormat="1" ht="15">
      <c r="A36" s="544"/>
      <c r="B36" s="544"/>
      <c r="C36" s="646"/>
      <c r="D36" s="646"/>
      <c r="E36" s="646"/>
      <c r="F36" s="646"/>
      <c r="G36" s="646"/>
      <c r="H36" s="646"/>
      <c r="I36" s="646"/>
      <c r="J36" s="646"/>
      <c r="K36" s="646"/>
      <c r="L36" s="646"/>
      <c r="M36" s="437"/>
      <c r="N36" s="437"/>
      <c r="O36" s="437"/>
      <c r="P36" s="437"/>
      <c r="Q36" s="437"/>
      <c r="R36" s="437"/>
    </row>
    <row r="37" spans="1:12" ht="15">
      <c r="A37" s="544"/>
      <c r="B37" s="544"/>
      <c r="C37" s="544"/>
      <c r="D37" s="544"/>
      <c r="E37" s="544"/>
      <c r="F37" s="544"/>
      <c r="G37" s="544"/>
      <c r="H37" s="544"/>
      <c r="I37" s="544"/>
      <c r="J37" s="544"/>
      <c r="K37" s="544"/>
      <c r="L37" s="544"/>
    </row>
    <row r="38" spans="1:12" ht="15">
      <c r="A38" s="544"/>
      <c r="B38" s="544"/>
      <c r="C38" s="544"/>
      <c r="D38" s="544"/>
      <c r="E38" s="544"/>
      <c r="F38" s="544"/>
      <c r="G38" s="544"/>
      <c r="H38" s="544"/>
      <c r="I38" s="544"/>
      <c r="J38" s="544"/>
      <c r="K38" s="544"/>
      <c r="L38" s="544"/>
    </row>
    <row r="39" spans="1:12" ht="18.75">
      <c r="A39" s="1485" t="str">
        <f>'Thong tin'!B5</f>
        <v>Trần Thị Minh</v>
      </c>
      <c r="B39" s="1485"/>
      <c r="C39" s="1485"/>
      <c r="D39" s="1485"/>
      <c r="E39" s="544"/>
      <c r="F39" s="544"/>
      <c r="G39" s="544"/>
      <c r="H39" s="1485" t="str">
        <f>'Thong tin'!B6</f>
        <v>Nguyễn Thị Mai Hoa</v>
      </c>
      <c r="I39" s="1485"/>
      <c r="J39" s="1485"/>
      <c r="K39" s="1485"/>
      <c r="L39" s="1485"/>
    </row>
    <row r="47" spans="1:13" ht="16.5" hidden="1">
      <c r="A47" s="1540" t="s">
        <v>33</v>
      </c>
      <c r="B47" s="1541"/>
      <c r="C47" s="477"/>
      <c r="D47" s="1532" t="s">
        <v>79</v>
      </c>
      <c r="E47" s="1532"/>
      <c r="F47" s="1532"/>
      <c r="G47" s="1532"/>
      <c r="H47" s="1532"/>
      <c r="I47" s="1532"/>
      <c r="J47" s="1532"/>
      <c r="K47" s="1542"/>
      <c r="L47" s="1542"/>
      <c r="M47" s="481"/>
    </row>
    <row r="48" spans="1:13" ht="16.5" hidden="1">
      <c r="A48" s="1495" t="s">
        <v>344</v>
      </c>
      <c r="B48" s="1495"/>
      <c r="C48" s="1495"/>
      <c r="D48" s="1532" t="s">
        <v>216</v>
      </c>
      <c r="E48" s="1532"/>
      <c r="F48" s="1532"/>
      <c r="G48" s="1532"/>
      <c r="H48" s="1532"/>
      <c r="I48" s="1532"/>
      <c r="J48" s="1532"/>
      <c r="K48" s="1539" t="s">
        <v>507</v>
      </c>
      <c r="L48" s="1539"/>
      <c r="M48" s="478"/>
    </row>
    <row r="49" spans="1:13" ht="16.5" hidden="1">
      <c r="A49" s="1495" t="s">
        <v>345</v>
      </c>
      <c r="B49" s="1495"/>
      <c r="C49" s="415"/>
      <c r="D49" s="1543" t="s">
        <v>11</v>
      </c>
      <c r="E49" s="1543"/>
      <c r="F49" s="1543"/>
      <c r="G49" s="1543"/>
      <c r="H49" s="1543"/>
      <c r="I49" s="1543"/>
      <c r="J49" s="1543"/>
      <c r="K49" s="1542"/>
      <c r="L49" s="1542"/>
      <c r="M49" s="481"/>
    </row>
    <row r="50" spans="1:13" ht="15.75" hidden="1">
      <c r="A50" s="436" t="s">
        <v>119</v>
      </c>
      <c r="B50" s="436"/>
      <c r="C50" s="421"/>
      <c r="D50" s="482"/>
      <c r="E50" s="482"/>
      <c r="F50" s="483"/>
      <c r="G50" s="483"/>
      <c r="H50" s="483"/>
      <c r="I50" s="483"/>
      <c r="J50" s="483"/>
      <c r="K50" s="1544"/>
      <c r="L50" s="1544"/>
      <c r="M50" s="478"/>
    </row>
    <row r="51" spans="1:13" ht="15.75" hidden="1">
      <c r="A51" s="482"/>
      <c r="B51" s="482" t="s">
        <v>94</v>
      </c>
      <c r="C51" s="482"/>
      <c r="D51" s="482"/>
      <c r="E51" s="482"/>
      <c r="F51" s="482"/>
      <c r="G51" s="482"/>
      <c r="H51" s="482"/>
      <c r="I51" s="482"/>
      <c r="J51" s="482"/>
      <c r="K51" s="1534"/>
      <c r="L51" s="1534"/>
      <c r="M51" s="478"/>
    </row>
    <row r="52" spans="1:13" ht="15.75" hidden="1">
      <c r="A52" s="1143" t="s">
        <v>71</v>
      </c>
      <c r="B52" s="1144"/>
      <c r="C52" s="1509" t="s">
        <v>38</v>
      </c>
      <c r="D52" s="1519" t="s">
        <v>339</v>
      </c>
      <c r="E52" s="1519"/>
      <c r="F52" s="1519"/>
      <c r="G52" s="1519"/>
      <c r="H52" s="1519"/>
      <c r="I52" s="1519"/>
      <c r="J52" s="1519"/>
      <c r="K52" s="1519"/>
      <c r="L52" s="1519"/>
      <c r="M52" s="481"/>
    </row>
    <row r="53" spans="1:13" ht="15.75" hidden="1">
      <c r="A53" s="1145"/>
      <c r="B53" s="1146"/>
      <c r="C53" s="1509"/>
      <c r="D53" s="1545" t="s">
        <v>207</v>
      </c>
      <c r="E53" s="1546"/>
      <c r="F53" s="1546"/>
      <c r="G53" s="1546"/>
      <c r="H53" s="1546"/>
      <c r="I53" s="1546"/>
      <c r="J53" s="1547"/>
      <c r="K53" s="1548" t="s">
        <v>208</v>
      </c>
      <c r="L53" s="1548" t="s">
        <v>209</v>
      </c>
      <c r="M53" s="478"/>
    </row>
    <row r="54" spans="1:13" ht="15.75" hidden="1">
      <c r="A54" s="1145"/>
      <c r="B54" s="1146"/>
      <c r="C54" s="1509"/>
      <c r="D54" s="1555" t="s">
        <v>37</v>
      </c>
      <c r="E54" s="1556" t="s">
        <v>7</v>
      </c>
      <c r="F54" s="1557"/>
      <c r="G54" s="1557"/>
      <c r="H54" s="1557"/>
      <c r="I54" s="1557"/>
      <c r="J54" s="1558"/>
      <c r="K54" s="1549"/>
      <c r="L54" s="1553"/>
      <c r="M54" s="478"/>
    </row>
    <row r="55" spans="1:16" ht="15.75" hidden="1">
      <c r="A55" s="1513"/>
      <c r="B55" s="1514"/>
      <c r="C55" s="1509"/>
      <c r="D55" s="1555"/>
      <c r="E55" s="484" t="s">
        <v>210</v>
      </c>
      <c r="F55" s="484" t="s">
        <v>211</v>
      </c>
      <c r="G55" s="484" t="s">
        <v>212</v>
      </c>
      <c r="H55" s="484" t="s">
        <v>213</v>
      </c>
      <c r="I55" s="484" t="s">
        <v>346</v>
      </c>
      <c r="J55" s="484" t="s">
        <v>214</v>
      </c>
      <c r="K55" s="1550"/>
      <c r="L55" s="1554"/>
      <c r="M55" s="1507" t="s">
        <v>502</v>
      </c>
      <c r="N55" s="1507"/>
      <c r="O55" s="1507"/>
      <c r="P55" s="1507"/>
    </row>
    <row r="56" spans="1:16" ht="15" hidden="1">
      <c r="A56" s="1511" t="s">
        <v>6</v>
      </c>
      <c r="B56" s="1512"/>
      <c r="C56" s="485">
        <v>1</v>
      </c>
      <c r="D56" s="486">
        <v>2</v>
      </c>
      <c r="E56" s="485">
        <v>3</v>
      </c>
      <c r="F56" s="486">
        <v>4</v>
      </c>
      <c r="G56" s="485">
        <v>5</v>
      </c>
      <c r="H56" s="486">
        <v>6</v>
      </c>
      <c r="I56" s="485">
        <v>7</v>
      </c>
      <c r="J56" s="486">
        <v>8</v>
      </c>
      <c r="K56" s="485">
        <v>9</v>
      </c>
      <c r="L56" s="486">
        <v>10</v>
      </c>
      <c r="M56" s="487" t="s">
        <v>503</v>
      </c>
      <c r="N56" s="488" t="s">
        <v>506</v>
      </c>
      <c r="O56" s="488" t="s">
        <v>504</v>
      </c>
      <c r="P56" s="488" t="s">
        <v>505</v>
      </c>
    </row>
    <row r="57" spans="1:16" ht="24.75" customHeight="1" hidden="1">
      <c r="A57" s="428" t="s">
        <v>0</v>
      </c>
      <c r="B57" s="429" t="s">
        <v>131</v>
      </c>
      <c r="C57" s="404">
        <f>C58+C59</f>
        <v>1227010</v>
      </c>
      <c r="D57" s="404">
        <f aca="true" t="shared" si="5" ref="D57:L57">D58+D59</f>
        <v>730216</v>
      </c>
      <c r="E57" s="404">
        <f t="shared" si="5"/>
        <v>318858</v>
      </c>
      <c r="F57" s="404">
        <f t="shared" si="5"/>
        <v>0</v>
      </c>
      <c r="G57" s="404">
        <f t="shared" si="5"/>
        <v>359311</v>
      </c>
      <c r="H57" s="404">
        <f t="shared" si="5"/>
        <v>25503</v>
      </c>
      <c r="I57" s="404">
        <f t="shared" si="5"/>
        <v>12500</v>
      </c>
      <c r="J57" s="404">
        <f t="shared" si="5"/>
        <v>14044</v>
      </c>
      <c r="K57" s="404">
        <f t="shared" si="5"/>
        <v>496794</v>
      </c>
      <c r="L57" s="404">
        <f t="shared" si="5"/>
        <v>0</v>
      </c>
      <c r="M57" s="404" t="e">
        <f>'03'!#REF!+'04'!#REF!</f>
        <v>#REF!</v>
      </c>
      <c r="N57" s="404" t="e">
        <f>C57-M57</f>
        <v>#REF!</v>
      </c>
      <c r="O57" s="404" t="e">
        <f>'07'!#REF!</f>
        <v>#REF!</v>
      </c>
      <c r="P57" s="404" t="e">
        <f>C57-O57</f>
        <v>#REF!</v>
      </c>
    </row>
    <row r="58" spans="1:16" ht="24.75" customHeight="1" hidden="1">
      <c r="A58" s="431">
        <v>1</v>
      </c>
      <c r="B58" s="432" t="s">
        <v>132</v>
      </c>
      <c r="C58" s="404">
        <f>D58+K58+L58</f>
        <v>1145484</v>
      </c>
      <c r="D58" s="404">
        <f>E58+F58+G58+H58+I58+J58</f>
        <v>648690</v>
      </c>
      <c r="E58" s="409">
        <v>289379</v>
      </c>
      <c r="F58" s="409"/>
      <c r="G58" s="409">
        <v>359311</v>
      </c>
      <c r="H58" s="409"/>
      <c r="I58" s="409"/>
      <c r="J58" s="409"/>
      <c r="K58" s="409">
        <v>496794</v>
      </c>
      <c r="L58" s="409"/>
      <c r="M58" s="409" t="e">
        <f>'03'!#REF!+'04'!#REF!</f>
        <v>#REF!</v>
      </c>
      <c r="N58" s="409" t="e">
        <f aca="true" t="shared" si="6" ref="N58:N72">C58-M58</f>
        <v>#REF!</v>
      </c>
      <c r="O58" s="409" t="e">
        <f>'07'!#REF!</f>
        <v>#REF!</v>
      </c>
      <c r="P58" s="409" t="e">
        <f aca="true" t="shared" si="7" ref="P58:P72">C58-O58</f>
        <v>#REF!</v>
      </c>
    </row>
    <row r="59" spans="1:16" ht="24.75" customHeight="1" hidden="1">
      <c r="A59" s="431">
        <v>2</v>
      </c>
      <c r="B59" s="432" t="s">
        <v>133</v>
      </c>
      <c r="C59" s="404">
        <f>D59+K59+L59</f>
        <v>81526</v>
      </c>
      <c r="D59" s="404">
        <f>E59+F59+G59+H59+I59+J59</f>
        <v>81526</v>
      </c>
      <c r="E59" s="409">
        <v>29479</v>
      </c>
      <c r="F59" s="409">
        <v>0</v>
      </c>
      <c r="G59" s="409">
        <v>0</v>
      </c>
      <c r="H59" s="409">
        <v>25503</v>
      </c>
      <c r="I59" s="409">
        <v>12500</v>
      </c>
      <c r="J59" s="409">
        <v>14044</v>
      </c>
      <c r="K59" s="409">
        <v>0</v>
      </c>
      <c r="L59" s="409">
        <v>0</v>
      </c>
      <c r="M59" s="409" t="e">
        <f>'03'!#REF!+'04'!#REF!</f>
        <v>#REF!</v>
      </c>
      <c r="N59" s="409" t="e">
        <f t="shared" si="6"/>
        <v>#REF!</v>
      </c>
      <c r="O59" s="409" t="e">
        <f>'07'!#REF!</f>
        <v>#REF!</v>
      </c>
      <c r="P59" s="409" t="e">
        <f t="shared" si="7"/>
        <v>#REF!</v>
      </c>
    </row>
    <row r="60" spans="1:16" ht="24.75" customHeight="1" hidden="1">
      <c r="A60" s="394" t="s">
        <v>1</v>
      </c>
      <c r="B60" s="395" t="s">
        <v>134</v>
      </c>
      <c r="C60" s="404">
        <f>D60+K60+L60</f>
        <v>30849</v>
      </c>
      <c r="D60" s="404">
        <f>E60+F60+G60+H60+I60+J60</f>
        <v>30849</v>
      </c>
      <c r="E60" s="409">
        <v>18349</v>
      </c>
      <c r="F60" s="409">
        <v>0</v>
      </c>
      <c r="G60" s="409">
        <v>0</v>
      </c>
      <c r="H60" s="409">
        <v>0</v>
      </c>
      <c r="I60" s="409">
        <v>12500</v>
      </c>
      <c r="J60" s="409">
        <v>0</v>
      </c>
      <c r="K60" s="409">
        <v>0</v>
      </c>
      <c r="L60" s="409">
        <v>0</v>
      </c>
      <c r="M60" s="409" t="e">
        <f>'03'!#REF!+'04'!#REF!</f>
        <v>#REF!</v>
      </c>
      <c r="N60" s="409" t="e">
        <f t="shared" si="6"/>
        <v>#REF!</v>
      </c>
      <c r="O60" s="409" t="e">
        <f>'07'!#REF!</f>
        <v>#REF!</v>
      </c>
      <c r="P60" s="409" t="e">
        <f t="shared" si="7"/>
        <v>#REF!</v>
      </c>
    </row>
    <row r="61" spans="1:16" ht="24.75" customHeight="1" hidden="1">
      <c r="A61" s="394" t="s">
        <v>9</v>
      </c>
      <c r="B61" s="395" t="s">
        <v>135</v>
      </c>
      <c r="C61" s="404">
        <f>D61+K61+L61</f>
        <v>0</v>
      </c>
      <c r="D61" s="404">
        <f>E61+F61+G61+H61+I61+J61</f>
        <v>0</v>
      </c>
      <c r="E61" s="409">
        <v>0</v>
      </c>
      <c r="F61" s="409">
        <v>0</v>
      </c>
      <c r="G61" s="409">
        <v>0</v>
      </c>
      <c r="H61" s="409">
        <v>0</v>
      </c>
      <c r="I61" s="409">
        <v>0</v>
      </c>
      <c r="J61" s="409">
        <v>0</v>
      </c>
      <c r="K61" s="409">
        <v>0</v>
      </c>
      <c r="L61" s="409">
        <v>0</v>
      </c>
      <c r="M61" s="409" t="e">
        <f>'03'!#REF!+'04'!#REF!</f>
        <v>#REF!</v>
      </c>
      <c r="N61" s="409" t="e">
        <f t="shared" si="6"/>
        <v>#REF!</v>
      </c>
      <c r="O61" s="409" t="e">
        <f>'07'!#REF!</f>
        <v>#REF!</v>
      </c>
      <c r="P61" s="409" t="e">
        <f t="shared" si="7"/>
        <v>#REF!</v>
      </c>
    </row>
    <row r="62" spans="1:16" ht="24.75" customHeight="1" hidden="1">
      <c r="A62" s="394" t="s">
        <v>136</v>
      </c>
      <c r="B62" s="395" t="s">
        <v>137</v>
      </c>
      <c r="C62" s="404">
        <f>C63+C72</f>
        <v>1196161</v>
      </c>
      <c r="D62" s="404">
        <f aca="true" t="shared" si="8" ref="D62:L62">D63+D72</f>
        <v>699367</v>
      </c>
      <c r="E62" s="404">
        <f t="shared" si="8"/>
        <v>300509</v>
      </c>
      <c r="F62" s="404">
        <f t="shared" si="8"/>
        <v>0</v>
      </c>
      <c r="G62" s="404">
        <f t="shared" si="8"/>
        <v>359311</v>
      </c>
      <c r="H62" s="404">
        <f t="shared" si="8"/>
        <v>25503</v>
      </c>
      <c r="I62" s="404">
        <f t="shared" si="8"/>
        <v>0</v>
      </c>
      <c r="J62" s="404">
        <f t="shared" si="8"/>
        <v>14044</v>
      </c>
      <c r="K62" s="404">
        <f t="shared" si="8"/>
        <v>496794</v>
      </c>
      <c r="L62" s="404">
        <f t="shared" si="8"/>
        <v>0</v>
      </c>
      <c r="M62" s="404" t="e">
        <f>'03'!#REF!+'04'!#REF!</f>
        <v>#REF!</v>
      </c>
      <c r="N62" s="404" t="e">
        <f t="shared" si="6"/>
        <v>#REF!</v>
      </c>
      <c r="O62" s="404" t="e">
        <f>'07'!#REF!</f>
        <v>#REF!</v>
      </c>
      <c r="P62" s="404" t="e">
        <f t="shared" si="7"/>
        <v>#REF!</v>
      </c>
    </row>
    <row r="63" spans="1:16" ht="24.75" customHeight="1" hidden="1">
      <c r="A63" s="394" t="s">
        <v>52</v>
      </c>
      <c r="B63" s="433" t="s">
        <v>138</v>
      </c>
      <c r="C63" s="404">
        <f>SUM(C64:C71)</f>
        <v>547471</v>
      </c>
      <c r="D63" s="404">
        <f aca="true" t="shared" si="9" ref="D63:L63">SUM(D64:D71)</f>
        <v>50677</v>
      </c>
      <c r="E63" s="404">
        <f t="shared" si="9"/>
        <v>11130</v>
      </c>
      <c r="F63" s="404">
        <f t="shared" si="9"/>
        <v>0</v>
      </c>
      <c r="G63" s="404">
        <f t="shared" si="9"/>
        <v>0</v>
      </c>
      <c r="H63" s="404">
        <f t="shared" si="9"/>
        <v>25503</v>
      </c>
      <c r="I63" s="404">
        <f t="shared" si="9"/>
        <v>0</v>
      </c>
      <c r="J63" s="404">
        <f t="shared" si="9"/>
        <v>14044</v>
      </c>
      <c r="K63" s="404">
        <f t="shared" si="9"/>
        <v>496794</v>
      </c>
      <c r="L63" s="404">
        <f t="shared" si="9"/>
        <v>0</v>
      </c>
      <c r="M63" s="404" t="e">
        <f>'03'!#REF!+'04'!#REF!</f>
        <v>#REF!</v>
      </c>
      <c r="N63" s="404" t="e">
        <f t="shared" si="6"/>
        <v>#REF!</v>
      </c>
      <c r="O63" s="404" t="e">
        <f>'07'!#REF!</f>
        <v>#REF!</v>
      </c>
      <c r="P63" s="404" t="e">
        <f t="shared" si="7"/>
        <v>#REF!</v>
      </c>
    </row>
    <row r="64" spans="1:16" ht="24.75" customHeight="1" hidden="1">
      <c r="A64" s="431" t="s">
        <v>54</v>
      </c>
      <c r="B64" s="432" t="s">
        <v>139</v>
      </c>
      <c r="C64" s="404">
        <f aca="true" t="shared" si="10" ref="C64:C72">D64+K64+L64</f>
        <v>41344</v>
      </c>
      <c r="D64" s="404">
        <f aca="true" t="shared" si="11" ref="D64:D72">E64+F64+G64+H64+I64+J64</f>
        <v>40344</v>
      </c>
      <c r="E64" s="409">
        <v>800</v>
      </c>
      <c r="F64" s="409">
        <v>0</v>
      </c>
      <c r="G64" s="409">
        <v>0</v>
      </c>
      <c r="H64" s="409">
        <v>25503</v>
      </c>
      <c r="I64" s="409">
        <v>0</v>
      </c>
      <c r="J64" s="409">
        <v>14041</v>
      </c>
      <c r="K64" s="409">
        <v>1000</v>
      </c>
      <c r="L64" s="409">
        <v>0</v>
      </c>
      <c r="M64" s="409" t="e">
        <f>'03'!#REF!+'04'!#REF!</f>
        <v>#REF!</v>
      </c>
      <c r="N64" s="409" t="e">
        <f t="shared" si="6"/>
        <v>#REF!</v>
      </c>
      <c r="O64" s="409" t="e">
        <f>'07'!#REF!</f>
        <v>#REF!</v>
      </c>
      <c r="P64" s="409" t="e">
        <f t="shared" si="7"/>
        <v>#REF!</v>
      </c>
    </row>
    <row r="65" spans="1:16" ht="24.75" customHeight="1" hidden="1">
      <c r="A65" s="431" t="s">
        <v>55</v>
      </c>
      <c r="B65" s="432" t="s">
        <v>140</v>
      </c>
      <c r="C65" s="404">
        <f t="shared" si="10"/>
        <v>0</v>
      </c>
      <c r="D65" s="404">
        <f t="shared" si="11"/>
        <v>0</v>
      </c>
      <c r="E65" s="409">
        <v>0</v>
      </c>
      <c r="F65" s="409">
        <v>0</v>
      </c>
      <c r="G65" s="409">
        <v>0</v>
      </c>
      <c r="H65" s="409">
        <v>0</v>
      </c>
      <c r="I65" s="409">
        <v>0</v>
      </c>
      <c r="J65" s="409">
        <v>0</v>
      </c>
      <c r="K65" s="409">
        <v>0</v>
      </c>
      <c r="L65" s="409">
        <v>0</v>
      </c>
      <c r="M65" s="409" t="e">
        <f>'03'!#REF!+'04'!#REF!</f>
        <v>#REF!</v>
      </c>
      <c r="N65" s="409" t="e">
        <f t="shared" si="6"/>
        <v>#REF!</v>
      </c>
      <c r="O65" s="409" t="e">
        <f>'07'!#REF!</f>
        <v>#REF!</v>
      </c>
      <c r="P65" s="409" t="e">
        <f t="shared" si="7"/>
        <v>#REF!</v>
      </c>
    </row>
    <row r="66" spans="1:16" ht="24.75" customHeight="1" hidden="1">
      <c r="A66" s="431" t="s">
        <v>141</v>
      </c>
      <c r="B66" s="432" t="s">
        <v>202</v>
      </c>
      <c r="C66" s="404">
        <f t="shared" si="10"/>
        <v>0</v>
      </c>
      <c r="D66" s="404">
        <f t="shared" si="11"/>
        <v>0</v>
      </c>
      <c r="E66" s="409">
        <v>0</v>
      </c>
      <c r="F66" s="409">
        <v>0</v>
      </c>
      <c r="G66" s="409">
        <v>0</v>
      </c>
      <c r="H66" s="409">
        <v>0</v>
      </c>
      <c r="I66" s="409">
        <v>0</v>
      </c>
      <c r="J66" s="409">
        <v>0</v>
      </c>
      <c r="K66" s="409">
        <v>0</v>
      </c>
      <c r="L66" s="409">
        <v>0</v>
      </c>
      <c r="M66" s="409" t="e">
        <f>'03'!#REF!</f>
        <v>#REF!</v>
      </c>
      <c r="N66" s="409" t="e">
        <f t="shared" si="6"/>
        <v>#REF!</v>
      </c>
      <c r="O66" s="409" t="e">
        <f>'07'!#REF!</f>
        <v>#REF!</v>
      </c>
      <c r="P66" s="409" t="e">
        <f t="shared" si="7"/>
        <v>#REF!</v>
      </c>
    </row>
    <row r="67" spans="1:16" ht="24.75" customHeight="1" hidden="1">
      <c r="A67" s="431" t="s">
        <v>143</v>
      </c>
      <c r="B67" s="432" t="s">
        <v>142</v>
      </c>
      <c r="C67" s="404">
        <f t="shared" si="10"/>
        <v>33438</v>
      </c>
      <c r="D67" s="404">
        <f t="shared" si="11"/>
        <v>10333</v>
      </c>
      <c r="E67" s="409">
        <v>10330</v>
      </c>
      <c r="F67" s="409">
        <v>0</v>
      </c>
      <c r="G67" s="409">
        <v>0</v>
      </c>
      <c r="H67" s="409">
        <v>0</v>
      </c>
      <c r="I67" s="409">
        <v>0</v>
      </c>
      <c r="J67" s="409">
        <v>3</v>
      </c>
      <c r="K67" s="409">
        <v>23105</v>
      </c>
      <c r="L67" s="409">
        <v>0</v>
      </c>
      <c r="M67" s="409" t="e">
        <f>'03'!#REF!+'04'!#REF!</f>
        <v>#REF!</v>
      </c>
      <c r="N67" s="409" t="e">
        <f t="shared" si="6"/>
        <v>#REF!</v>
      </c>
      <c r="O67" s="409" t="e">
        <f>'07'!#REF!</f>
        <v>#REF!</v>
      </c>
      <c r="P67" s="409" t="e">
        <f t="shared" si="7"/>
        <v>#REF!</v>
      </c>
    </row>
    <row r="68" spans="1:16" ht="24.75" customHeight="1" hidden="1">
      <c r="A68" s="431" t="s">
        <v>145</v>
      </c>
      <c r="B68" s="432" t="s">
        <v>144</v>
      </c>
      <c r="C68" s="404">
        <f t="shared" si="10"/>
        <v>0</v>
      </c>
      <c r="D68" s="404">
        <f t="shared" si="11"/>
        <v>0</v>
      </c>
      <c r="E68" s="409">
        <v>0</v>
      </c>
      <c r="F68" s="409">
        <v>0</v>
      </c>
      <c r="G68" s="409">
        <v>0</v>
      </c>
      <c r="H68" s="409">
        <v>0</v>
      </c>
      <c r="I68" s="409">
        <v>0</v>
      </c>
      <c r="J68" s="409">
        <v>0</v>
      </c>
      <c r="K68" s="409">
        <v>0</v>
      </c>
      <c r="L68" s="409">
        <v>0</v>
      </c>
      <c r="M68" s="409" t="e">
        <f>'03'!#REF!+'04'!#REF!</f>
        <v>#REF!</v>
      </c>
      <c r="N68" s="409" t="e">
        <f t="shared" si="6"/>
        <v>#REF!</v>
      </c>
      <c r="O68" s="409" t="e">
        <f>'07'!#REF!</f>
        <v>#REF!</v>
      </c>
      <c r="P68" s="409" t="e">
        <f t="shared" si="7"/>
        <v>#REF!</v>
      </c>
    </row>
    <row r="69" spans="1:16" ht="24.75" customHeight="1" hidden="1">
      <c r="A69" s="431" t="s">
        <v>147</v>
      </c>
      <c r="B69" s="432" t="s">
        <v>146</v>
      </c>
      <c r="C69" s="404">
        <f t="shared" si="10"/>
        <v>0</v>
      </c>
      <c r="D69" s="404">
        <f t="shared" si="11"/>
        <v>0</v>
      </c>
      <c r="E69" s="409">
        <v>0</v>
      </c>
      <c r="F69" s="409">
        <v>0</v>
      </c>
      <c r="G69" s="409">
        <v>0</v>
      </c>
      <c r="H69" s="409">
        <v>0</v>
      </c>
      <c r="I69" s="409">
        <v>0</v>
      </c>
      <c r="J69" s="409">
        <v>0</v>
      </c>
      <c r="K69" s="409">
        <v>0</v>
      </c>
      <c r="L69" s="409">
        <v>0</v>
      </c>
      <c r="M69" s="409" t="e">
        <f>'03'!#REF!+'04'!#REF!</f>
        <v>#REF!</v>
      </c>
      <c r="N69" s="409" t="e">
        <f t="shared" si="6"/>
        <v>#REF!</v>
      </c>
      <c r="O69" s="409" t="e">
        <f>'07'!#REF!</f>
        <v>#REF!</v>
      </c>
      <c r="P69" s="409" t="e">
        <f t="shared" si="7"/>
        <v>#REF!</v>
      </c>
    </row>
    <row r="70" spans="1:16" ht="24.75" customHeight="1" hidden="1">
      <c r="A70" s="431" t="s">
        <v>149</v>
      </c>
      <c r="B70" s="434" t="s">
        <v>148</v>
      </c>
      <c r="C70" s="404">
        <f t="shared" si="10"/>
        <v>0</v>
      </c>
      <c r="D70" s="404">
        <f t="shared" si="11"/>
        <v>0</v>
      </c>
      <c r="E70" s="409">
        <v>0</v>
      </c>
      <c r="F70" s="409">
        <v>0</v>
      </c>
      <c r="G70" s="409">
        <v>0</v>
      </c>
      <c r="H70" s="409">
        <v>0</v>
      </c>
      <c r="I70" s="409">
        <v>0</v>
      </c>
      <c r="J70" s="409">
        <v>0</v>
      </c>
      <c r="K70" s="409">
        <v>0</v>
      </c>
      <c r="L70" s="409">
        <v>0</v>
      </c>
      <c r="M70" s="409" t="e">
        <f>'03'!#REF!+'04'!#REF!</f>
        <v>#REF!</v>
      </c>
      <c r="N70" s="409" t="e">
        <f t="shared" si="6"/>
        <v>#REF!</v>
      </c>
      <c r="O70" s="409" t="e">
        <f>'07'!#REF!</f>
        <v>#REF!</v>
      </c>
      <c r="P70" s="409" t="e">
        <f t="shared" si="7"/>
        <v>#REF!</v>
      </c>
    </row>
    <row r="71" spans="1:16" ht="24.75" customHeight="1" hidden="1">
      <c r="A71" s="431" t="s">
        <v>186</v>
      </c>
      <c r="B71" s="432" t="s">
        <v>150</v>
      </c>
      <c r="C71" s="404">
        <f t="shared" si="10"/>
        <v>472689</v>
      </c>
      <c r="D71" s="404">
        <f t="shared" si="11"/>
        <v>0</v>
      </c>
      <c r="E71" s="409">
        <v>0</v>
      </c>
      <c r="F71" s="409">
        <v>0</v>
      </c>
      <c r="G71" s="409">
        <v>0</v>
      </c>
      <c r="H71" s="409">
        <v>0</v>
      </c>
      <c r="I71" s="409">
        <v>0</v>
      </c>
      <c r="J71" s="409">
        <v>0</v>
      </c>
      <c r="K71" s="409">
        <v>472689</v>
      </c>
      <c r="L71" s="409">
        <v>0</v>
      </c>
      <c r="M71" s="409" t="e">
        <f>'03'!#REF!+'04'!#REF!</f>
        <v>#REF!</v>
      </c>
      <c r="N71" s="409" t="e">
        <f t="shared" si="6"/>
        <v>#REF!</v>
      </c>
      <c r="O71" s="409" t="e">
        <f>'07'!#REF!</f>
        <v>#REF!</v>
      </c>
      <c r="P71" s="409" t="e">
        <f t="shared" si="7"/>
        <v>#REF!</v>
      </c>
    </row>
    <row r="72" spans="1:16" ht="24.75" customHeight="1" hidden="1">
      <c r="A72" s="394" t="s">
        <v>53</v>
      </c>
      <c r="B72" s="395" t="s">
        <v>151</v>
      </c>
      <c r="C72" s="404">
        <f t="shared" si="10"/>
        <v>648690</v>
      </c>
      <c r="D72" s="404">
        <f t="shared" si="11"/>
        <v>648690</v>
      </c>
      <c r="E72" s="409">
        <v>289379</v>
      </c>
      <c r="F72" s="409">
        <v>0</v>
      </c>
      <c r="G72" s="409">
        <v>359311</v>
      </c>
      <c r="H72" s="409">
        <v>0</v>
      </c>
      <c r="I72" s="409">
        <v>0</v>
      </c>
      <c r="J72" s="409">
        <v>0</v>
      </c>
      <c r="K72" s="409">
        <v>0</v>
      </c>
      <c r="L72" s="409">
        <v>0</v>
      </c>
      <c r="M72" s="404" t="e">
        <f>'03'!#REF!+'04'!#REF!</f>
        <v>#REF!</v>
      </c>
      <c r="N72" s="404" t="e">
        <f t="shared" si="6"/>
        <v>#REF!</v>
      </c>
      <c r="O72" s="404" t="e">
        <f>'07'!#REF!</f>
        <v>#REF!</v>
      </c>
      <c r="P72" s="404" t="e">
        <f t="shared" si="7"/>
        <v>#REF!</v>
      </c>
    </row>
    <row r="73" spans="1:16" ht="24.75" customHeight="1" hidden="1">
      <c r="A73" s="463" t="s">
        <v>76</v>
      </c>
      <c r="B73" s="492" t="s">
        <v>215</v>
      </c>
      <c r="C73" s="476">
        <f>(C64+C65+C66)/C63</f>
        <v>0.07551815529955011</v>
      </c>
      <c r="D73" s="396">
        <f aca="true" t="shared" si="12" ref="D73:L73">(D64+D65+D66)/D63</f>
        <v>0.7961007952325513</v>
      </c>
      <c r="E73" s="414">
        <f t="shared" si="12"/>
        <v>0.07187780772686433</v>
      </c>
      <c r="F73" s="414" t="e">
        <f t="shared" si="12"/>
        <v>#DIV/0!</v>
      </c>
      <c r="G73" s="414" t="e">
        <f t="shared" si="12"/>
        <v>#DIV/0!</v>
      </c>
      <c r="H73" s="414">
        <f t="shared" si="12"/>
        <v>1</v>
      </c>
      <c r="I73" s="414" t="e">
        <f t="shared" si="12"/>
        <v>#DIV/0!</v>
      </c>
      <c r="J73" s="414">
        <f t="shared" si="12"/>
        <v>0.9997863856451153</v>
      </c>
      <c r="K73" s="414">
        <f t="shared" si="12"/>
        <v>0.0020129067581331496</v>
      </c>
      <c r="L73" s="414" t="e">
        <f t="shared" si="12"/>
        <v>#DIV/0!</v>
      </c>
      <c r="M73" s="425"/>
      <c r="N73" s="493"/>
      <c r="O73" s="493"/>
      <c r="P73" s="493"/>
    </row>
    <row r="74" spans="1:16" ht="17.25" hidden="1">
      <c r="A74" s="1515" t="s">
        <v>500</v>
      </c>
      <c r="B74" s="1515"/>
      <c r="C74" s="409">
        <f>C57-C60-C61-C62</f>
        <v>0</v>
      </c>
      <c r="D74" s="409">
        <f aca="true" t="shared" si="13" ref="D74:L74">D57-D60-D61-D62</f>
        <v>0</v>
      </c>
      <c r="E74" s="409">
        <f t="shared" si="13"/>
        <v>0</v>
      </c>
      <c r="F74" s="409">
        <f t="shared" si="13"/>
        <v>0</v>
      </c>
      <c r="G74" s="409">
        <f t="shared" si="13"/>
        <v>0</v>
      </c>
      <c r="H74" s="409">
        <f t="shared" si="13"/>
        <v>0</v>
      </c>
      <c r="I74" s="409">
        <f t="shared" si="13"/>
        <v>0</v>
      </c>
      <c r="J74" s="409">
        <f t="shared" si="13"/>
        <v>0</v>
      </c>
      <c r="K74" s="409">
        <f t="shared" si="13"/>
        <v>0</v>
      </c>
      <c r="L74" s="409">
        <f t="shared" si="13"/>
        <v>0</v>
      </c>
      <c r="M74" s="425"/>
      <c r="N74" s="493"/>
      <c r="O74" s="493"/>
      <c r="P74" s="493"/>
    </row>
    <row r="75" spans="1:16" ht="17.25" hidden="1">
      <c r="A75" s="1516" t="s">
        <v>501</v>
      </c>
      <c r="B75" s="1516"/>
      <c r="C75" s="409">
        <f>C62-C63-C72</f>
        <v>0</v>
      </c>
      <c r="D75" s="409">
        <f aca="true" t="shared" si="14" ref="D75:L75">D62-D63-D72</f>
        <v>0</v>
      </c>
      <c r="E75" s="409">
        <f t="shared" si="14"/>
        <v>0</v>
      </c>
      <c r="F75" s="409">
        <f t="shared" si="14"/>
        <v>0</v>
      </c>
      <c r="G75" s="409">
        <f t="shared" si="14"/>
        <v>0</v>
      </c>
      <c r="H75" s="409">
        <f t="shared" si="14"/>
        <v>0</v>
      </c>
      <c r="I75" s="409">
        <f t="shared" si="14"/>
        <v>0</v>
      </c>
      <c r="J75" s="409">
        <f t="shared" si="14"/>
        <v>0</v>
      </c>
      <c r="K75" s="409">
        <f t="shared" si="14"/>
        <v>0</v>
      </c>
      <c r="L75" s="409">
        <f t="shared" si="14"/>
        <v>0</v>
      </c>
      <c r="M75" s="425"/>
      <c r="N75" s="493"/>
      <c r="O75" s="493"/>
      <c r="P75" s="493"/>
    </row>
    <row r="76" spans="1:16" ht="18.75" hidden="1">
      <c r="A76" s="478"/>
      <c r="B76" s="494" t="s">
        <v>520</v>
      </c>
      <c r="C76" s="494"/>
      <c r="D76" s="466"/>
      <c r="E76" s="466"/>
      <c r="F76" s="466"/>
      <c r="G76" s="1518" t="s">
        <v>520</v>
      </c>
      <c r="H76" s="1518"/>
      <c r="I76" s="1518"/>
      <c r="J76" s="1518"/>
      <c r="K76" s="1518"/>
      <c r="L76" s="1518"/>
      <c r="M76" s="481"/>
      <c r="N76" s="481"/>
      <c r="O76" s="481"/>
      <c r="P76" s="481"/>
    </row>
    <row r="77" spans="1:16" ht="18.75" hidden="1">
      <c r="A77" s="1551" t="s">
        <v>4</v>
      </c>
      <c r="B77" s="1551"/>
      <c r="C77" s="1551"/>
      <c r="D77" s="1551"/>
      <c r="E77" s="466"/>
      <c r="F77" s="466"/>
      <c r="G77" s="495"/>
      <c r="H77" s="1552" t="s">
        <v>521</v>
      </c>
      <c r="I77" s="1552"/>
      <c r="J77" s="1552"/>
      <c r="K77" s="1552"/>
      <c r="L77" s="1552"/>
      <c r="M77" s="481"/>
      <c r="N77" s="481"/>
      <c r="O77" s="481"/>
      <c r="P77" s="481"/>
    </row>
    <row r="78" ht="15" hidden="1"/>
    <row r="79" ht="15" hidden="1"/>
    <row r="80" ht="15" hidden="1"/>
    <row r="81" ht="15" hidden="1"/>
    <row r="82" ht="15" hidden="1"/>
    <row r="83" ht="15" hidden="1"/>
    <row r="84" ht="15" hidden="1"/>
    <row r="85" ht="15" hidden="1"/>
    <row r="86" ht="15" hidden="1"/>
    <row r="87" ht="15" hidden="1"/>
    <row r="88" spans="1:13" ht="16.5" hidden="1">
      <c r="A88" s="1540" t="s">
        <v>33</v>
      </c>
      <c r="B88" s="1541"/>
      <c r="C88" s="477"/>
      <c r="D88" s="1532" t="s">
        <v>79</v>
      </c>
      <c r="E88" s="1532"/>
      <c r="F88" s="1532"/>
      <c r="G88" s="1532"/>
      <c r="H88" s="1532"/>
      <c r="I88" s="1532"/>
      <c r="J88" s="1532"/>
      <c r="K88" s="1542"/>
      <c r="L88" s="1542"/>
      <c r="M88" s="481"/>
    </row>
    <row r="89" spans="1:13" ht="16.5" hidden="1">
      <c r="A89" s="1495" t="s">
        <v>344</v>
      </c>
      <c r="B89" s="1495"/>
      <c r="C89" s="1495"/>
      <c r="D89" s="1532" t="s">
        <v>216</v>
      </c>
      <c r="E89" s="1532"/>
      <c r="F89" s="1532"/>
      <c r="G89" s="1532"/>
      <c r="H89" s="1532"/>
      <c r="I89" s="1532"/>
      <c r="J89" s="1532"/>
      <c r="K89" s="1539" t="s">
        <v>508</v>
      </c>
      <c r="L89" s="1539"/>
      <c r="M89" s="478"/>
    </row>
    <row r="90" spans="1:13" ht="16.5" hidden="1">
      <c r="A90" s="1495" t="s">
        <v>345</v>
      </c>
      <c r="B90" s="1495"/>
      <c r="C90" s="415"/>
      <c r="D90" s="1543" t="s">
        <v>11</v>
      </c>
      <c r="E90" s="1543"/>
      <c r="F90" s="1543"/>
      <c r="G90" s="1543"/>
      <c r="H90" s="1543"/>
      <c r="I90" s="1543"/>
      <c r="J90" s="1543"/>
      <c r="K90" s="1542"/>
      <c r="L90" s="1542"/>
      <c r="M90" s="481"/>
    </row>
    <row r="91" spans="1:13" ht="15.75" hidden="1">
      <c r="A91" s="436" t="s">
        <v>119</v>
      </c>
      <c r="B91" s="436"/>
      <c r="C91" s="421"/>
      <c r="D91" s="482"/>
      <c r="E91" s="482"/>
      <c r="F91" s="483"/>
      <c r="G91" s="483"/>
      <c r="H91" s="483"/>
      <c r="I91" s="483"/>
      <c r="J91" s="483"/>
      <c r="K91" s="1544"/>
      <c r="L91" s="1544"/>
      <c r="M91" s="478"/>
    </row>
    <row r="92" spans="1:13" ht="15.75" hidden="1">
      <c r="A92" s="482"/>
      <c r="B92" s="482" t="s">
        <v>94</v>
      </c>
      <c r="C92" s="482"/>
      <c r="D92" s="482"/>
      <c r="E92" s="482"/>
      <c r="F92" s="482"/>
      <c r="G92" s="482"/>
      <c r="H92" s="482"/>
      <c r="I92" s="482"/>
      <c r="J92" s="482"/>
      <c r="K92" s="1534"/>
      <c r="L92" s="1534"/>
      <c r="M92" s="478"/>
    </row>
    <row r="93" spans="1:13" ht="15.75" hidden="1">
      <c r="A93" s="1143" t="s">
        <v>71</v>
      </c>
      <c r="B93" s="1144"/>
      <c r="C93" s="1509" t="s">
        <v>38</v>
      </c>
      <c r="D93" s="1519" t="s">
        <v>339</v>
      </c>
      <c r="E93" s="1519"/>
      <c r="F93" s="1519"/>
      <c r="G93" s="1519"/>
      <c r="H93" s="1519"/>
      <c r="I93" s="1519"/>
      <c r="J93" s="1519"/>
      <c r="K93" s="1519"/>
      <c r="L93" s="1519"/>
      <c r="M93" s="481"/>
    </row>
    <row r="94" spans="1:13" ht="15.75" hidden="1">
      <c r="A94" s="1145"/>
      <c r="B94" s="1146"/>
      <c r="C94" s="1509"/>
      <c r="D94" s="1545" t="s">
        <v>207</v>
      </c>
      <c r="E94" s="1546"/>
      <c r="F94" s="1546"/>
      <c r="G94" s="1546"/>
      <c r="H94" s="1546"/>
      <c r="I94" s="1546"/>
      <c r="J94" s="1547"/>
      <c r="K94" s="1548" t="s">
        <v>208</v>
      </c>
      <c r="L94" s="1548" t="s">
        <v>209</v>
      </c>
      <c r="M94" s="478"/>
    </row>
    <row r="95" spans="1:13" ht="15.75" hidden="1">
      <c r="A95" s="1145"/>
      <c r="B95" s="1146"/>
      <c r="C95" s="1509"/>
      <c r="D95" s="1555" t="s">
        <v>37</v>
      </c>
      <c r="E95" s="1556" t="s">
        <v>7</v>
      </c>
      <c r="F95" s="1557"/>
      <c r="G95" s="1557"/>
      <c r="H95" s="1557"/>
      <c r="I95" s="1557"/>
      <c r="J95" s="1558"/>
      <c r="K95" s="1549"/>
      <c r="L95" s="1553"/>
      <c r="M95" s="478"/>
    </row>
    <row r="96" spans="1:16" ht="15.75" hidden="1">
      <c r="A96" s="1513"/>
      <c r="B96" s="1514"/>
      <c r="C96" s="1509"/>
      <c r="D96" s="1555"/>
      <c r="E96" s="484" t="s">
        <v>210</v>
      </c>
      <c r="F96" s="484" t="s">
        <v>211</v>
      </c>
      <c r="G96" s="484" t="s">
        <v>212</v>
      </c>
      <c r="H96" s="484" t="s">
        <v>213</v>
      </c>
      <c r="I96" s="484" t="s">
        <v>346</v>
      </c>
      <c r="J96" s="484" t="s">
        <v>214</v>
      </c>
      <c r="K96" s="1550"/>
      <c r="L96" s="1554"/>
      <c r="M96" s="1507" t="s">
        <v>502</v>
      </c>
      <c r="N96" s="1507"/>
      <c r="O96" s="1507"/>
      <c r="P96" s="1507"/>
    </row>
    <row r="97" spans="1:16" ht="15" hidden="1">
      <c r="A97" s="1511" t="s">
        <v>6</v>
      </c>
      <c r="B97" s="1512"/>
      <c r="C97" s="485">
        <v>1</v>
      </c>
      <c r="D97" s="486">
        <v>2</v>
      </c>
      <c r="E97" s="485">
        <v>3</v>
      </c>
      <c r="F97" s="486">
        <v>4</v>
      </c>
      <c r="G97" s="485">
        <v>5</v>
      </c>
      <c r="H97" s="486">
        <v>6</v>
      </c>
      <c r="I97" s="485">
        <v>7</v>
      </c>
      <c r="J97" s="486">
        <v>8</v>
      </c>
      <c r="K97" s="485">
        <v>9</v>
      </c>
      <c r="L97" s="486">
        <v>10</v>
      </c>
      <c r="M97" s="487" t="s">
        <v>503</v>
      </c>
      <c r="N97" s="488" t="s">
        <v>506</v>
      </c>
      <c r="O97" s="488" t="s">
        <v>504</v>
      </c>
      <c r="P97" s="488" t="s">
        <v>505</v>
      </c>
    </row>
    <row r="98" spans="1:16" ht="24.75" customHeight="1" hidden="1">
      <c r="A98" s="428" t="s">
        <v>0</v>
      </c>
      <c r="B98" s="429" t="s">
        <v>131</v>
      </c>
      <c r="C98" s="404">
        <f>C99+C100</f>
        <v>77698000</v>
      </c>
      <c r="D98" s="404">
        <f aca="true" t="shared" si="15" ref="D98:L98">D99+D100</f>
        <v>1726087</v>
      </c>
      <c r="E98" s="404">
        <f t="shared" si="15"/>
        <v>992526</v>
      </c>
      <c r="F98" s="404">
        <f t="shared" si="15"/>
        <v>0</v>
      </c>
      <c r="G98" s="404">
        <f t="shared" si="15"/>
        <v>434217</v>
      </c>
      <c r="H98" s="404">
        <f t="shared" si="15"/>
        <v>110298</v>
      </c>
      <c r="I98" s="404">
        <f t="shared" si="15"/>
        <v>20700</v>
      </c>
      <c r="J98" s="404">
        <f t="shared" si="15"/>
        <v>168346</v>
      </c>
      <c r="K98" s="404">
        <f t="shared" si="15"/>
        <v>73826163</v>
      </c>
      <c r="L98" s="404">
        <f t="shared" si="15"/>
        <v>2145750</v>
      </c>
      <c r="M98" s="404" t="e">
        <f>'03'!#REF!+'04'!#REF!</f>
        <v>#REF!</v>
      </c>
      <c r="N98" s="404" t="e">
        <f>C98-M98</f>
        <v>#REF!</v>
      </c>
      <c r="O98" s="404" t="e">
        <f>'07'!#REF!</f>
        <v>#REF!</v>
      </c>
      <c r="P98" s="404" t="e">
        <f>C98-O98</f>
        <v>#REF!</v>
      </c>
    </row>
    <row r="99" spans="1:16" ht="24.75" customHeight="1" hidden="1">
      <c r="A99" s="431">
        <v>1</v>
      </c>
      <c r="B99" s="432" t="s">
        <v>132</v>
      </c>
      <c r="C99" s="404">
        <f>D99+K99+L99</f>
        <v>42623095</v>
      </c>
      <c r="D99" s="404">
        <f>E99+F99+G99+H99+I99+J99</f>
        <v>901808</v>
      </c>
      <c r="E99" s="409">
        <v>547691</v>
      </c>
      <c r="F99" s="409"/>
      <c r="G99" s="409">
        <v>256217</v>
      </c>
      <c r="H99" s="409">
        <v>65000</v>
      </c>
      <c r="I99" s="409">
        <v>20700</v>
      </c>
      <c r="J99" s="409">
        <v>12200</v>
      </c>
      <c r="K99" s="409">
        <v>40571287</v>
      </c>
      <c r="L99" s="409">
        <v>1150000</v>
      </c>
      <c r="M99" s="409" t="e">
        <f>'03'!#REF!+'04'!#REF!</f>
        <v>#REF!</v>
      </c>
      <c r="N99" s="409" t="e">
        <f aca="true" t="shared" si="16" ref="N99:N113">C99-M99</f>
        <v>#REF!</v>
      </c>
      <c r="O99" s="409" t="e">
        <f>'07'!#REF!</f>
        <v>#REF!</v>
      </c>
      <c r="P99" s="409" t="e">
        <f aca="true" t="shared" si="17" ref="P99:P113">C99-O99</f>
        <v>#REF!</v>
      </c>
    </row>
    <row r="100" spans="1:16" ht="24.75" customHeight="1" hidden="1">
      <c r="A100" s="431">
        <v>2</v>
      </c>
      <c r="B100" s="432" t="s">
        <v>133</v>
      </c>
      <c r="C100" s="404">
        <f>D100+K100+L100</f>
        <v>35074905</v>
      </c>
      <c r="D100" s="404">
        <f>E100+F100+G100+H100+I100+J100</f>
        <v>824279</v>
      </c>
      <c r="E100" s="409">
        <v>444835</v>
      </c>
      <c r="F100" s="409"/>
      <c r="G100" s="409">
        <v>178000</v>
      </c>
      <c r="H100" s="409">
        <v>45298</v>
      </c>
      <c r="I100" s="409"/>
      <c r="J100" s="409">
        <v>156146</v>
      </c>
      <c r="K100" s="409">
        <v>33254876</v>
      </c>
      <c r="L100" s="409">
        <v>995750</v>
      </c>
      <c r="M100" s="409" t="e">
        <f>'03'!#REF!+'04'!#REF!</f>
        <v>#REF!</v>
      </c>
      <c r="N100" s="409" t="e">
        <f t="shared" si="16"/>
        <v>#REF!</v>
      </c>
      <c r="O100" s="409" t="e">
        <f>'07'!#REF!</f>
        <v>#REF!</v>
      </c>
      <c r="P100" s="409" t="e">
        <f t="shared" si="17"/>
        <v>#REF!</v>
      </c>
    </row>
    <row r="101" spans="1:16" ht="24.75" customHeight="1" hidden="1">
      <c r="A101" s="394" t="s">
        <v>1</v>
      </c>
      <c r="B101" s="395" t="s">
        <v>134</v>
      </c>
      <c r="C101" s="404">
        <f>D101+K101+L101</f>
        <v>4094298</v>
      </c>
      <c r="D101" s="404">
        <f>E101+F101+G101+H101+I101+J101</f>
        <v>29764</v>
      </c>
      <c r="E101" s="409">
        <v>10764</v>
      </c>
      <c r="F101" s="409"/>
      <c r="G101" s="409">
        <v>19000</v>
      </c>
      <c r="H101" s="409"/>
      <c r="I101" s="409"/>
      <c r="J101" s="409"/>
      <c r="K101" s="409">
        <v>3103784</v>
      </c>
      <c r="L101" s="409">
        <v>960750</v>
      </c>
      <c r="M101" s="409" t="e">
        <f>'03'!#REF!+'04'!#REF!</f>
        <v>#REF!</v>
      </c>
      <c r="N101" s="409" t="e">
        <f t="shared" si="16"/>
        <v>#REF!</v>
      </c>
      <c r="O101" s="409" t="e">
        <f>'07'!#REF!</f>
        <v>#REF!</v>
      </c>
      <c r="P101" s="409" t="e">
        <f t="shared" si="17"/>
        <v>#REF!</v>
      </c>
    </row>
    <row r="102" spans="1:16" ht="24.75" customHeight="1" hidden="1">
      <c r="A102" s="394" t="s">
        <v>9</v>
      </c>
      <c r="B102" s="395" t="s">
        <v>135</v>
      </c>
      <c r="C102" s="404">
        <f>D102+K102+L102</f>
        <v>0</v>
      </c>
      <c r="D102" s="404">
        <f>E102+F102+G102+H102+I102+J102</f>
        <v>0</v>
      </c>
      <c r="E102" s="409"/>
      <c r="F102" s="409"/>
      <c r="G102" s="409"/>
      <c r="H102" s="409"/>
      <c r="I102" s="409"/>
      <c r="J102" s="409"/>
      <c r="K102" s="409"/>
      <c r="L102" s="409"/>
      <c r="M102" s="409" t="e">
        <f>'03'!#REF!+'04'!#REF!</f>
        <v>#REF!</v>
      </c>
      <c r="N102" s="409" t="e">
        <f t="shared" si="16"/>
        <v>#REF!</v>
      </c>
      <c r="O102" s="409" t="e">
        <f>'07'!#REF!</f>
        <v>#REF!</v>
      </c>
      <c r="P102" s="409" t="e">
        <f t="shared" si="17"/>
        <v>#REF!</v>
      </c>
    </row>
    <row r="103" spans="1:16" ht="24.75" customHeight="1" hidden="1">
      <c r="A103" s="394" t="s">
        <v>136</v>
      </c>
      <c r="B103" s="395" t="s">
        <v>137</v>
      </c>
      <c r="C103" s="404">
        <f>C104+C113</f>
        <v>73603702</v>
      </c>
      <c r="D103" s="404">
        <f aca="true" t="shared" si="18" ref="D103:L103">D104+D113</f>
        <v>1696323</v>
      </c>
      <c r="E103" s="404">
        <f t="shared" si="18"/>
        <v>981762</v>
      </c>
      <c r="F103" s="404">
        <f t="shared" si="18"/>
        <v>0</v>
      </c>
      <c r="G103" s="404">
        <f t="shared" si="18"/>
        <v>415217</v>
      </c>
      <c r="H103" s="404">
        <f t="shared" si="18"/>
        <v>110298</v>
      </c>
      <c r="I103" s="404">
        <f t="shared" si="18"/>
        <v>20700</v>
      </c>
      <c r="J103" s="404">
        <f t="shared" si="18"/>
        <v>168346</v>
      </c>
      <c r="K103" s="404">
        <f t="shared" si="18"/>
        <v>70722379</v>
      </c>
      <c r="L103" s="404">
        <f t="shared" si="18"/>
        <v>1185000</v>
      </c>
      <c r="M103" s="404" t="e">
        <f>'03'!#REF!+'04'!#REF!</f>
        <v>#REF!</v>
      </c>
      <c r="N103" s="404" t="e">
        <f t="shared" si="16"/>
        <v>#REF!</v>
      </c>
      <c r="O103" s="404" t="e">
        <f>'07'!#REF!</f>
        <v>#REF!</v>
      </c>
      <c r="P103" s="404" t="e">
        <f t="shared" si="17"/>
        <v>#REF!</v>
      </c>
    </row>
    <row r="104" spans="1:16" ht="24.75" customHeight="1" hidden="1">
      <c r="A104" s="394" t="s">
        <v>52</v>
      </c>
      <c r="B104" s="433" t="s">
        <v>138</v>
      </c>
      <c r="C104" s="404">
        <f>SUM(C105:C112)</f>
        <v>72849668</v>
      </c>
      <c r="D104" s="404">
        <f aca="true" t="shared" si="19" ref="D104:L104">SUM(D105:D112)</f>
        <v>942289</v>
      </c>
      <c r="E104" s="404">
        <f t="shared" si="19"/>
        <v>526845</v>
      </c>
      <c r="F104" s="404">
        <f t="shared" si="19"/>
        <v>0</v>
      </c>
      <c r="G104" s="404">
        <f t="shared" si="19"/>
        <v>197800</v>
      </c>
      <c r="H104" s="404">
        <f t="shared" si="19"/>
        <v>49298</v>
      </c>
      <c r="I104" s="404">
        <f t="shared" si="19"/>
        <v>0</v>
      </c>
      <c r="J104" s="404">
        <f t="shared" si="19"/>
        <v>168346</v>
      </c>
      <c r="K104" s="404">
        <f t="shared" si="19"/>
        <v>70722379</v>
      </c>
      <c r="L104" s="404">
        <f t="shared" si="19"/>
        <v>1185000</v>
      </c>
      <c r="M104" s="404" t="e">
        <f>'03'!#REF!+'04'!#REF!</f>
        <v>#REF!</v>
      </c>
      <c r="N104" s="404" t="e">
        <f t="shared" si="16"/>
        <v>#REF!</v>
      </c>
      <c r="O104" s="404" t="e">
        <f>'07'!#REF!</f>
        <v>#REF!</v>
      </c>
      <c r="P104" s="404" t="e">
        <f t="shared" si="17"/>
        <v>#REF!</v>
      </c>
    </row>
    <row r="105" spans="1:16" ht="24.75" customHeight="1" hidden="1">
      <c r="A105" s="431" t="s">
        <v>54</v>
      </c>
      <c r="B105" s="432" t="s">
        <v>139</v>
      </c>
      <c r="C105" s="404">
        <f aca="true" t="shared" si="20" ref="C105:C113">D105+K105+L105</f>
        <v>4196249</v>
      </c>
      <c r="D105" s="404">
        <f aca="true" t="shared" si="21" ref="D105:D113">E105+F105+G105+H105+I105+J105</f>
        <v>562189</v>
      </c>
      <c r="E105" s="409">
        <v>241945</v>
      </c>
      <c r="F105" s="409"/>
      <c r="G105" s="409">
        <v>107000</v>
      </c>
      <c r="H105" s="409">
        <v>45298</v>
      </c>
      <c r="I105" s="409"/>
      <c r="J105" s="409">
        <v>167946</v>
      </c>
      <c r="K105" s="409">
        <v>3609060</v>
      </c>
      <c r="L105" s="409">
        <v>25000</v>
      </c>
      <c r="M105" s="409" t="e">
        <f>'03'!#REF!+'04'!#REF!</f>
        <v>#REF!</v>
      </c>
      <c r="N105" s="409" t="e">
        <f t="shared" si="16"/>
        <v>#REF!</v>
      </c>
      <c r="O105" s="409" t="e">
        <f>'07'!#REF!</f>
        <v>#REF!</v>
      </c>
      <c r="P105" s="409" t="e">
        <f t="shared" si="17"/>
        <v>#REF!</v>
      </c>
    </row>
    <row r="106" spans="1:16" ht="24.75" customHeight="1" hidden="1">
      <c r="A106" s="431" t="s">
        <v>55</v>
      </c>
      <c r="B106" s="432" t="s">
        <v>140</v>
      </c>
      <c r="C106" s="404">
        <f t="shared" si="20"/>
        <v>0</v>
      </c>
      <c r="D106" s="404">
        <f t="shared" si="21"/>
        <v>0</v>
      </c>
      <c r="E106" s="409"/>
      <c r="F106" s="409"/>
      <c r="G106" s="409"/>
      <c r="H106" s="409"/>
      <c r="I106" s="409"/>
      <c r="J106" s="409"/>
      <c r="K106" s="409"/>
      <c r="L106" s="409"/>
      <c r="M106" s="409" t="e">
        <f>'03'!#REF!+'04'!#REF!</f>
        <v>#REF!</v>
      </c>
      <c r="N106" s="409" t="e">
        <f t="shared" si="16"/>
        <v>#REF!</v>
      </c>
      <c r="O106" s="409" t="e">
        <f>'07'!#REF!</f>
        <v>#REF!</v>
      </c>
      <c r="P106" s="409" t="e">
        <f t="shared" si="17"/>
        <v>#REF!</v>
      </c>
    </row>
    <row r="107" spans="1:16" ht="24.75" customHeight="1" hidden="1">
      <c r="A107" s="431" t="s">
        <v>141</v>
      </c>
      <c r="B107" s="432" t="s">
        <v>202</v>
      </c>
      <c r="C107" s="404">
        <f t="shared" si="20"/>
        <v>0</v>
      </c>
      <c r="D107" s="404">
        <f t="shared" si="21"/>
        <v>0</v>
      </c>
      <c r="E107" s="409"/>
      <c r="F107" s="409"/>
      <c r="G107" s="409"/>
      <c r="H107" s="409"/>
      <c r="I107" s="409"/>
      <c r="J107" s="409"/>
      <c r="K107" s="409"/>
      <c r="L107" s="409"/>
      <c r="M107" s="409" t="e">
        <f>'03'!#REF!</f>
        <v>#REF!</v>
      </c>
      <c r="N107" s="409" t="e">
        <f t="shared" si="16"/>
        <v>#REF!</v>
      </c>
      <c r="O107" s="409" t="e">
        <f>'07'!#REF!</f>
        <v>#REF!</v>
      </c>
      <c r="P107" s="409" t="e">
        <f t="shared" si="17"/>
        <v>#REF!</v>
      </c>
    </row>
    <row r="108" spans="1:16" ht="24.75" customHeight="1" hidden="1">
      <c r="A108" s="431" t="s">
        <v>143</v>
      </c>
      <c r="B108" s="432" t="s">
        <v>142</v>
      </c>
      <c r="C108" s="404">
        <f t="shared" si="20"/>
        <v>67438608</v>
      </c>
      <c r="D108" s="404">
        <f t="shared" si="21"/>
        <v>315289</v>
      </c>
      <c r="E108" s="409">
        <v>220089</v>
      </c>
      <c r="F108" s="409"/>
      <c r="G108" s="409">
        <v>90800</v>
      </c>
      <c r="H108" s="409">
        <v>4000</v>
      </c>
      <c r="I108" s="409"/>
      <c r="J108" s="409">
        <v>400</v>
      </c>
      <c r="K108" s="409">
        <v>67113319</v>
      </c>
      <c r="L108" s="409">
        <v>10000</v>
      </c>
      <c r="M108" s="409" t="e">
        <f>'03'!#REF!+'04'!#REF!</f>
        <v>#REF!</v>
      </c>
      <c r="N108" s="409" t="e">
        <f t="shared" si="16"/>
        <v>#REF!</v>
      </c>
      <c r="O108" s="409" t="e">
        <f>'07'!#REF!</f>
        <v>#REF!</v>
      </c>
      <c r="P108" s="409" t="e">
        <f t="shared" si="17"/>
        <v>#REF!</v>
      </c>
    </row>
    <row r="109" spans="1:16" ht="24.75" customHeight="1" hidden="1">
      <c r="A109" s="431" t="s">
        <v>145</v>
      </c>
      <c r="B109" s="432" t="s">
        <v>144</v>
      </c>
      <c r="C109" s="404">
        <f t="shared" si="20"/>
        <v>1214811</v>
      </c>
      <c r="D109" s="404">
        <f t="shared" si="21"/>
        <v>64811</v>
      </c>
      <c r="E109" s="409">
        <v>64811</v>
      </c>
      <c r="F109" s="409"/>
      <c r="G109" s="409"/>
      <c r="H109" s="409"/>
      <c r="I109" s="409"/>
      <c r="J109" s="409"/>
      <c r="K109" s="409"/>
      <c r="L109" s="409">
        <v>1150000</v>
      </c>
      <c r="M109" s="409" t="e">
        <f>'03'!#REF!+'04'!#REF!</f>
        <v>#REF!</v>
      </c>
      <c r="N109" s="409" t="e">
        <f t="shared" si="16"/>
        <v>#REF!</v>
      </c>
      <c r="O109" s="409" t="e">
        <f>'07'!#REF!</f>
        <v>#REF!</v>
      </c>
      <c r="P109" s="409" t="e">
        <f t="shared" si="17"/>
        <v>#REF!</v>
      </c>
    </row>
    <row r="110" spans="1:16" ht="24.75" customHeight="1" hidden="1">
      <c r="A110" s="431" t="s">
        <v>147</v>
      </c>
      <c r="B110" s="432" t="s">
        <v>146</v>
      </c>
      <c r="C110" s="404">
        <f t="shared" si="20"/>
        <v>0</v>
      </c>
      <c r="D110" s="404">
        <f t="shared" si="21"/>
        <v>0</v>
      </c>
      <c r="E110" s="409"/>
      <c r="F110" s="409"/>
      <c r="G110" s="409"/>
      <c r="H110" s="409"/>
      <c r="I110" s="409"/>
      <c r="J110" s="409"/>
      <c r="K110" s="409"/>
      <c r="L110" s="409"/>
      <c r="M110" s="409" t="e">
        <f>'03'!#REF!+'04'!#REF!</f>
        <v>#REF!</v>
      </c>
      <c r="N110" s="409" t="e">
        <f t="shared" si="16"/>
        <v>#REF!</v>
      </c>
      <c r="O110" s="409" t="e">
        <f>'07'!#REF!</f>
        <v>#REF!</v>
      </c>
      <c r="P110" s="409" t="e">
        <f t="shared" si="17"/>
        <v>#REF!</v>
      </c>
    </row>
    <row r="111" spans="1:16" ht="24.75" customHeight="1" hidden="1">
      <c r="A111" s="431" t="s">
        <v>149</v>
      </c>
      <c r="B111" s="434" t="s">
        <v>148</v>
      </c>
      <c r="C111" s="404">
        <f t="shared" si="20"/>
        <v>0</v>
      </c>
      <c r="D111" s="404">
        <f t="shared" si="21"/>
        <v>0</v>
      </c>
      <c r="E111" s="409"/>
      <c r="F111" s="409"/>
      <c r="G111" s="409"/>
      <c r="H111" s="409"/>
      <c r="I111" s="409"/>
      <c r="J111" s="409"/>
      <c r="K111" s="409"/>
      <c r="L111" s="409"/>
      <c r="M111" s="409" t="e">
        <f>'03'!#REF!+'04'!#REF!</f>
        <v>#REF!</v>
      </c>
      <c r="N111" s="409" t="e">
        <f t="shared" si="16"/>
        <v>#REF!</v>
      </c>
      <c r="O111" s="409" t="e">
        <f>'07'!#REF!</f>
        <v>#REF!</v>
      </c>
      <c r="P111" s="409" t="e">
        <f t="shared" si="17"/>
        <v>#REF!</v>
      </c>
    </row>
    <row r="112" spans="1:16" ht="24.75" customHeight="1" hidden="1">
      <c r="A112" s="431" t="s">
        <v>186</v>
      </c>
      <c r="B112" s="432" t="s">
        <v>150</v>
      </c>
      <c r="C112" s="404">
        <f t="shared" si="20"/>
        <v>0</v>
      </c>
      <c r="D112" s="404">
        <f t="shared" si="21"/>
        <v>0</v>
      </c>
      <c r="E112" s="409"/>
      <c r="F112" s="409"/>
      <c r="G112" s="409"/>
      <c r="H112" s="409"/>
      <c r="I112" s="409"/>
      <c r="J112" s="409"/>
      <c r="K112" s="409"/>
      <c r="L112" s="409"/>
      <c r="M112" s="409" t="e">
        <f>'03'!#REF!+'04'!#REF!</f>
        <v>#REF!</v>
      </c>
      <c r="N112" s="409" t="e">
        <f t="shared" si="16"/>
        <v>#REF!</v>
      </c>
      <c r="O112" s="409" t="e">
        <f>'07'!#REF!</f>
        <v>#REF!</v>
      </c>
      <c r="P112" s="409" t="e">
        <f t="shared" si="17"/>
        <v>#REF!</v>
      </c>
    </row>
    <row r="113" spans="1:16" ht="24.75" customHeight="1" hidden="1">
      <c r="A113" s="394" t="s">
        <v>53</v>
      </c>
      <c r="B113" s="395" t="s">
        <v>151</v>
      </c>
      <c r="C113" s="404">
        <f t="shared" si="20"/>
        <v>754034</v>
      </c>
      <c r="D113" s="404">
        <f t="shared" si="21"/>
        <v>754034</v>
      </c>
      <c r="E113" s="409">
        <v>454917</v>
      </c>
      <c r="F113" s="409"/>
      <c r="G113" s="409">
        <v>217417</v>
      </c>
      <c r="H113" s="409">
        <v>61000</v>
      </c>
      <c r="I113" s="409">
        <v>20700</v>
      </c>
      <c r="J113" s="409"/>
      <c r="K113" s="409"/>
      <c r="L113" s="409"/>
      <c r="M113" s="404" t="e">
        <f>'03'!#REF!+'04'!#REF!</f>
        <v>#REF!</v>
      </c>
      <c r="N113" s="404" t="e">
        <f t="shared" si="16"/>
        <v>#REF!</v>
      </c>
      <c r="O113" s="404" t="e">
        <f>'07'!#REF!</f>
        <v>#REF!</v>
      </c>
      <c r="P113" s="404" t="e">
        <f t="shared" si="17"/>
        <v>#REF!</v>
      </c>
    </row>
    <row r="114" spans="1:16" ht="25.5" hidden="1">
      <c r="A114" s="463" t="s">
        <v>76</v>
      </c>
      <c r="B114" s="492" t="s">
        <v>215</v>
      </c>
      <c r="C114" s="476">
        <f>(C105+C106+C107)/C104</f>
        <v>0.05760148419619428</v>
      </c>
      <c r="D114" s="396">
        <f aca="true" t="shared" si="22" ref="D114:L114">(D105+D106+D107)/D104</f>
        <v>0.5966205696978315</v>
      </c>
      <c r="E114" s="414">
        <f t="shared" si="22"/>
        <v>0.45923374047395343</v>
      </c>
      <c r="F114" s="414" t="e">
        <f t="shared" si="22"/>
        <v>#DIV/0!</v>
      </c>
      <c r="G114" s="414">
        <f t="shared" si="22"/>
        <v>0.5409504550050556</v>
      </c>
      <c r="H114" s="414">
        <f t="shared" si="22"/>
        <v>0.9188608057121993</v>
      </c>
      <c r="I114" s="414" t="e">
        <f t="shared" si="22"/>
        <v>#DIV/0!</v>
      </c>
      <c r="J114" s="414">
        <f t="shared" si="22"/>
        <v>0.9976239411687834</v>
      </c>
      <c r="K114" s="414">
        <f t="shared" si="22"/>
        <v>0.05103137155496423</v>
      </c>
      <c r="L114" s="414">
        <f t="shared" si="22"/>
        <v>0.02109704641350211</v>
      </c>
      <c r="M114" s="425"/>
      <c r="N114" s="493"/>
      <c r="O114" s="493"/>
      <c r="P114" s="493"/>
    </row>
    <row r="115" spans="1:16" ht="17.25" hidden="1">
      <c r="A115" s="1515" t="s">
        <v>500</v>
      </c>
      <c r="B115" s="1515"/>
      <c r="C115" s="409">
        <f>C98-C101-C102-C103</f>
        <v>0</v>
      </c>
      <c r="D115" s="409">
        <f aca="true" t="shared" si="23" ref="D115:L115">D98-D101-D102-D103</f>
        <v>0</v>
      </c>
      <c r="E115" s="409">
        <f t="shared" si="23"/>
        <v>0</v>
      </c>
      <c r="F115" s="409">
        <f t="shared" si="23"/>
        <v>0</v>
      </c>
      <c r="G115" s="409">
        <f t="shared" si="23"/>
        <v>0</v>
      </c>
      <c r="H115" s="409">
        <f t="shared" si="23"/>
        <v>0</v>
      </c>
      <c r="I115" s="409">
        <f t="shared" si="23"/>
        <v>0</v>
      </c>
      <c r="J115" s="409">
        <f t="shared" si="23"/>
        <v>0</v>
      </c>
      <c r="K115" s="409">
        <f t="shared" si="23"/>
        <v>0</v>
      </c>
      <c r="L115" s="409">
        <f t="shared" si="23"/>
        <v>0</v>
      </c>
      <c r="M115" s="425"/>
      <c r="N115" s="493"/>
      <c r="O115" s="493"/>
      <c r="P115" s="493"/>
    </row>
    <row r="116" spans="1:16" ht="17.25" hidden="1">
      <c r="A116" s="1516" t="s">
        <v>501</v>
      </c>
      <c r="B116" s="1516"/>
      <c r="C116" s="409">
        <f>C103-C104-C113</f>
        <v>0</v>
      </c>
      <c r="D116" s="409">
        <f aca="true" t="shared" si="24" ref="D116:L116">D103-D104-D113</f>
        <v>0</v>
      </c>
      <c r="E116" s="409">
        <f t="shared" si="24"/>
        <v>0</v>
      </c>
      <c r="F116" s="409">
        <f t="shared" si="24"/>
        <v>0</v>
      </c>
      <c r="G116" s="409">
        <f t="shared" si="24"/>
        <v>0</v>
      </c>
      <c r="H116" s="409">
        <f t="shared" si="24"/>
        <v>0</v>
      </c>
      <c r="I116" s="409">
        <f t="shared" si="24"/>
        <v>0</v>
      </c>
      <c r="J116" s="409">
        <f t="shared" si="24"/>
        <v>0</v>
      </c>
      <c r="K116" s="409">
        <f t="shared" si="24"/>
        <v>0</v>
      </c>
      <c r="L116" s="409">
        <f t="shared" si="24"/>
        <v>0</v>
      </c>
      <c r="M116" s="425"/>
      <c r="N116" s="493"/>
      <c r="O116" s="493"/>
      <c r="P116" s="493"/>
    </row>
    <row r="117" spans="1:16" ht="18.75" hidden="1">
      <c r="A117" s="478"/>
      <c r="B117" s="494" t="s">
        <v>520</v>
      </c>
      <c r="C117" s="494"/>
      <c r="D117" s="466"/>
      <c r="E117" s="466"/>
      <c r="F117" s="466"/>
      <c r="G117" s="1518" t="s">
        <v>520</v>
      </c>
      <c r="H117" s="1518"/>
      <c r="I117" s="1518"/>
      <c r="J117" s="1518"/>
      <c r="K117" s="1518"/>
      <c r="L117" s="1518"/>
      <c r="M117" s="481"/>
      <c r="N117" s="481"/>
      <c r="O117" s="481"/>
      <c r="P117" s="481"/>
    </row>
    <row r="118" spans="1:16" ht="18.75" hidden="1">
      <c r="A118" s="1551" t="s">
        <v>4</v>
      </c>
      <c r="B118" s="1551"/>
      <c r="C118" s="1551"/>
      <c r="D118" s="1551"/>
      <c r="E118" s="466"/>
      <c r="F118" s="466"/>
      <c r="G118" s="495"/>
      <c r="H118" s="1552" t="s">
        <v>521</v>
      </c>
      <c r="I118" s="1552"/>
      <c r="J118" s="1552"/>
      <c r="K118" s="1552"/>
      <c r="L118" s="1552"/>
      <c r="M118" s="481"/>
      <c r="N118" s="481"/>
      <c r="O118" s="481"/>
      <c r="P118" s="481"/>
    </row>
    <row r="119" ht="15" hidden="1"/>
    <row r="120" ht="15" hidden="1"/>
    <row r="121" ht="15" hidden="1"/>
    <row r="122" ht="15" hidden="1"/>
    <row r="123" ht="15" hidden="1"/>
    <row r="124" ht="15" hidden="1"/>
    <row r="125" ht="15" hidden="1"/>
    <row r="126" ht="15" hidden="1"/>
    <row r="127" ht="15" hidden="1"/>
    <row r="128" ht="15" hidden="1"/>
    <row r="129" ht="15" hidden="1"/>
    <row r="130" ht="15" hidden="1"/>
    <row r="131" spans="1:13" ht="16.5" hidden="1">
      <c r="A131" s="1540" t="s">
        <v>33</v>
      </c>
      <c r="B131" s="1541"/>
      <c r="C131" s="477"/>
      <c r="D131" s="1532" t="s">
        <v>79</v>
      </c>
      <c r="E131" s="1532"/>
      <c r="F131" s="1532"/>
      <c r="G131" s="1532"/>
      <c r="H131" s="1532"/>
      <c r="I131" s="1532"/>
      <c r="J131" s="1532"/>
      <c r="K131" s="1542"/>
      <c r="L131" s="1542"/>
      <c r="M131" s="481"/>
    </row>
    <row r="132" spans="1:13" ht="16.5" hidden="1">
      <c r="A132" s="1495" t="s">
        <v>344</v>
      </c>
      <c r="B132" s="1495"/>
      <c r="C132" s="1495"/>
      <c r="D132" s="1532" t="s">
        <v>216</v>
      </c>
      <c r="E132" s="1532"/>
      <c r="F132" s="1532"/>
      <c r="G132" s="1532"/>
      <c r="H132" s="1532"/>
      <c r="I132" s="1532"/>
      <c r="J132" s="1532"/>
      <c r="K132" s="1539" t="s">
        <v>509</v>
      </c>
      <c r="L132" s="1539"/>
      <c r="M132" s="478"/>
    </row>
    <row r="133" spans="1:13" ht="16.5" hidden="1">
      <c r="A133" s="1495" t="s">
        <v>345</v>
      </c>
      <c r="B133" s="1495"/>
      <c r="C133" s="415"/>
      <c r="D133" s="1543" t="s">
        <v>554</v>
      </c>
      <c r="E133" s="1543"/>
      <c r="F133" s="1543"/>
      <c r="G133" s="1543"/>
      <c r="H133" s="1543"/>
      <c r="I133" s="1543"/>
      <c r="J133" s="1543"/>
      <c r="K133" s="1542"/>
      <c r="L133" s="1542"/>
      <c r="M133" s="481"/>
    </row>
    <row r="134" spans="1:13" ht="15.75" hidden="1">
      <c r="A134" s="436" t="s">
        <v>119</v>
      </c>
      <c r="B134" s="436"/>
      <c r="C134" s="421"/>
      <c r="D134" s="482"/>
      <c r="E134" s="482"/>
      <c r="F134" s="483"/>
      <c r="G134" s="483"/>
      <c r="H134" s="483"/>
      <c r="I134" s="483"/>
      <c r="J134" s="483"/>
      <c r="K134" s="1544"/>
      <c r="L134" s="1544"/>
      <c r="M134" s="478"/>
    </row>
    <row r="135" spans="1:13" ht="15.75" hidden="1">
      <c r="A135" s="482"/>
      <c r="B135" s="482" t="s">
        <v>94</v>
      </c>
      <c r="C135" s="482"/>
      <c r="D135" s="482"/>
      <c r="E135" s="482"/>
      <c r="F135" s="482"/>
      <c r="G135" s="482"/>
      <c r="H135" s="482"/>
      <c r="I135" s="482"/>
      <c r="J135" s="482"/>
      <c r="K135" s="1534"/>
      <c r="L135" s="1534"/>
      <c r="M135" s="478"/>
    </row>
    <row r="136" spans="1:13" ht="15.75" hidden="1">
      <c r="A136" s="1143" t="s">
        <v>71</v>
      </c>
      <c r="B136" s="1144"/>
      <c r="C136" s="1509" t="s">
        <v>38</v>
      </c>
      <c r="D136" s="1519" t="s">
        <v>339</v>
      </c>
      <c r="E136" s="1519"/>
      <c r="F136" s="1519"/>
      <c r="G136" s="1519"/>
      <c r="H136" s="1519"/>
      <c r="I136" s="1519"/>
      <c r="J136" s="1519"/>
      <c r="K136" s="1519"/>
      <c r="L136" s="1519"/>
      <c r="M136" s="481"/>
    </row>
    <row r="137" spans="1:13" ht="15.75" hidden="1">
      <c r="A137" s="1145"/>
      <c r="B137" s="1146"/>
      <c r="C137" s="1509"/>
      <c r="D137" s="1545" t="s">
        <v>207</v>
      </c>
      <c r="E137" s="1546"/>
      <c r="F137" s="1546"/>
      <c r="G137" s="1546"/>
      <c r="H137" s="1546"/>
      <c r="I137" s="1546"/>
      <c r="J137" s="1547"/>
      <c r="K137" s="1548" t="s">
        <v>208</v>
      </c>
      <c r="L137" s="1548" t="s">
        <v>209</v>
      </c>
      <c r="M137" s="478"/>
    </row>
    <row r="138" spans="1:13" ht="15.75" hidden="1">
      <c r="A138" s="1145"/>
      <c r="B138" s="1146"/>
      <c r="C138" s="1509"/>
      <c r="D138" s="1555" t="s">
        <v>37</v>
      </c>
      <c r="E138" s="1556" t="s">
        <v>7</v>
      </c>
      <c r="F138" s="1557"/>
      <c r="G138" s="1557"/>
      <c r="H138" s="1557"/>
      <c r="I138" s="1557"/>
      <c r="J138" s="1558"/>
      <c r="K138" s="1549"/>
      <c r="L138" s="1553"/>
      <c r="M138" s="478"/>
    </row>
    <row r="139" spans="1:16" ht="15.75" hidden="1">
      <c r="A139" s="1513"/>
      <c r="B139" s="1514"/>
      <c r="C139" s="1509"/>
      <c r="D139" s="1555"/>
      <c r="E139" s="484" t="s">
        <v>210</v>
      </c>
      <c r="F139" s="484" t="s">
        <v>211</v>
      </c>
      <c r="G139" s="484" t="s">
        <v>212</v>
      </c>
      <c r="H139" s="484" t="s">
        <v>213</v>
      </c>
      <c r="I139" s="484" t="s">
        <v>346</v>
      </c>
      <c r="J139" s="484" t="s">
        <v>214</v>
      </c>
      <c r="K139" s="1550"/>
      <c r="L139" s="1554"/>
      <c r="M139" s="1507" t="s">
        <v>502</v>
      </c>
      <c r="N139" s="1507"/>
      <c r="O139" s="1507"/>
      <c r="P139" s="1507"/>
    </row>
    <row r="140" spans="1:16" ht="15" hidden="1">
      <c r="A140" s="1511" t="s">
        <v>6</v>
      </c>
      <c r="B140" s="1512"/>
      <c r="C140" s="485">
        <v>1</v>
      </c>
      <c r="D140" s="486">
        <v>2</v>
      </c>
      <c r="E140" s="485">
        <v>3</v>
      </c>
      <c r="F140" s="486">
        <v>4</v>
      </c>
      <c r="G140" s="485">
        <v>5</v>
      </c>
      <c r="H140" s="486">
        <v>6</v>
      </c>
      <c r="I140" s="485">
        <v>7</v>
      </c>
      <c r="J140" s="486">
        <v>8</v>
      </c>
      <c r="K140" s="485">
        <v>9</v>
      </c>
      <c r="L140" s="486">
        <v>10</v>
      </c>
      <c r="M140" s="487" t="s">
        <v>503</v>
      </c>
      <c r="N140" s="488" t="s">
        <v>506</v>
      </c>
      <c r="O140" s="488" t="s">
        <v>504</v>
      </c>
      <c r="P140" s="488" t="s">
        <v>505</v>
      </c>
    </row>
    <row r="141" spans="1:16" ht="24.75" customHeight="1" hidden="1">
      <c r="A141" s="428" t="s">
        <v>0</v>
      </c>
      <c r="B141" s="429" t="s">
        <v>131</v>
      </c>
      <c r="C141" s="404">
        <f>C142+C143</f>
        <v>3784244</v>
      </c>
      <c r="D141" s="404">
        <f aca="true" t="shared" si="25" ref="D141:L141">D142+D143</f>
        <v>154333</v>
      </c>
      <c r="E141" s="404">
        <f t="shared" si="25"/>
        <v>152430</v>
      </c>
      <c r="F141" s="404">
        <f t="shared" si="25"/>
        <v>0</v>
      </c>
      <c r="G141" s="404">
        <f t="shared" si="25"/>
        <v>0</v>
      </c>
      <c r="H141" s="404">
        <f t="shared" si="25"/>
        <v>0</v>
      </c>
      <c r="I141" s="404">
        <f t="shared" si="25"/>
        <v>1903</v>
      </c>
      <c r="J141" s="404">
        <f t="shared" si="25"/>
        <v>0</v>
      </c>
      <c r="K141" s="404">
        <f t="shared" si="25"/>
        <v>3419094</v>
      </c>
      <c r="L141" s="404">
        <f t="shared" si="25"/>
        <v>210817</v>
      </c>
      <c r="M141" s="404" t="e">
        <f>'03'!#REF!+'04'!#REF!</f>
        <v>#REF!</v>
      </c>
      <c r="N141" s="404" t="e">
        <f>C141-M141</f>
        <v>#REF!</v>
      </c>
      <c r="O141" s="404" t="e">
        <f>'07'!#REF!</f>
        <v>#REF!</v>
      </c>
      <c r="P141" s="404" t="e">
        <f>C141-O141</f>
        <v>#REF!</v>
      </c>
    </row>
    <row r="142" spans="1:16" ht="24.75" customHeight="1" hidden="1">
      <c r="A142" s="431">
        <v>1</v>
      </c>
      <c r="B142" s="432" t="s">
        <v>132</v>
      </c>
      <c r="C142" s="404">
        <f>D142+K142+L142</f>
        <v>1838955</v>
      </c>
      <c r="D142" s="404">
        <f>E142+F142+G142+H142+I142+J142</f>
        <v>121865</v>
      </c>
      <c r="E142" s="409">
        <v>120365</v>
      </c>
      <c r="F142" s="409"/>
      <c r="G142" s="409"/>
      <c r="H142" s="409"/>
      <c r="I142" s="409">
        <v>1500</v>
      </c>
      <c r="J142" s="409"/>
      <c r="K142" s="409">
        <v>1717090</v>
      </c>
      <c r="L142" s="409"/>
      <c r="M142" s="409" t="e">
        <f>'03'!#REF!+'04'!#REF!</f>
        <v>#REF!</v>
      </c>
      <c r="N142" s="409" t="e">
        <f aca="true" t="shared" si="26" ref="N142:N156">C142-M142</f>
        <v>#REF!</v>
      </c>
      <c r="O142" s="409" t="e">
        <f>'07'!#REF!</f>
        <v>#REF!</v>
      </c>
      <c r="P142" s="409" t="e">
        <f aca="true" t="shared" si="27" ref="P142:P156">C142-O142</f>
        <v>#REF!</v>
      </c>
    </row>
    <row r="143" spans="1:16" ht="24.75" customHeight="1" hidden="1">
      <c r="A143" s="431">
        <v>2</v>
      </c>
      <c r="B143" s="432" t="s">
        <v>133</v>
      </c>
      <c r="C143" s="404">
        <f>D143+K143+L143</f>
        <v>1945289</v>
      </c>
      <c r="D143" s="404">
        <f>E143+F143+G143+H143+I143+J143</f>
        <v>32468</v>
      </c>
      <c r="E143" s="409">
        <v>32065</v>
      </c>
      <c r="F143" s="409"/>
      <c r="G143" s="409"/>
      <c r="H143" s="409"/>
      <c r="I143" s="409">
        <v>403</v>
      </c>
      <c r="J143" s="409"/>
      <c r="K143" s="409">
        <v>1702004</v>
      </c>
      <c r="L143" s="409">
        <v>210817</v>
      </c>
      <c r="M143" s="409" t="e">
        <f>'03'!#REF!+'04'!#REF!</f>
        <v>#REF!</v>
      </c>
      <c r="N143" s="409" t="e">
        <f t="shared" si="26"/>
        <v>#REF!</v>
      </c>
      <c r="O143" s="409" t="e">
        <f>'07'!#REF!</f>
        <v>#REF!</v>
      </c>
      <c r="P143" s="409" t="e">
        <f t="shared" si="27"/>
        <v>#REF!</v>
      </c>
    </row>
    <row r="144" spans="1:16" ht="24.75" customHeight="1" hidden="1">
      <c r="A144" s="394" t="s">
        <v>1</v>
      </c>
      <c r="B144" s="395" t="s">
        <v>134</v>
      </c>
      <c r="C144" s="404">
        <f>D144+K144+L144</f>
        <v>400</v>
      </c>
      <c r="D144" s="404">
        <f>E144+F144+G144+H144+I144+J144</f>
        <v>400</v>
      </c>
      <c r="E144" s="409">
        <v>400</v>
      </c>
      <c r="F144" s="409"/>
      <c r="G144" s="409"/>
      <c r="H144" s="409"/>
      <c r="I144" s="409"/>
      <c r="J144" s="409"/>
      <c r="K144" s="409"/>
      <c r="L144" s="409"/>
      <c r="M144" s="409" t="e">
        <f>'03'!#REF!+'04'!#REF!</f>
        <v>#REF!</v>
      </c>
      <c r="N144" s="409" t="e">
        <f t="shared" si="26"/>
        <v>#REF!</v>
      </c>
      <c r="O144" s="409" t="e">
        <f>'07'!#REF!</f>
        <v>#REF!</v>
      </c>
      <c r="P144" s="409" t="e">
        <f t="shared" si="27"/>
        <v>#REF!</v>
      </c>
    </row>
    <row r="145" spans="1:16" ht="24.75" customHeight="1" hidden="1">
      <c r="A145" s="394" t="s">
        <v>9</v>
      </c>
      <c r="B145" s="395" t="s">
        <v>135</v>
      </c>
      <c r="C145" s="404">
        <f>D145+K145+L145</f>
        <v>0</v>
      </c>
      <c r="D145" s="404">
        <f>E145+F145+G145+H145+I145+J145</f>
        <v>0</v>
      </c>
      <c r="E145" s="409"/>
      <c r="F145" s="409"/>
      <c r="G145" s="409"/>
      <c r="H145" s="409"/>
      <c r="I145" s="409"/>
      <c r="J145" s="409"/>
      <c r="K145" s="409"/>
      <c r="L145" s="409"/>
      <c r="M145" s="409" t="e">
        <f>'03'!#REF!+'04'!#REF!</f>
        <v>#REF!</v>
      </c>
      <c r="N145" s="409" t="e">
        <f t="shared" si="26"/>
        <v>#REF!</v>
      </c>
      <c r="O145" s="409" t="e">
        <f>'07'!#REF!</f>
        <v>#REF!</v>
      </c>
      <c r="P145" s="409" t="e">
        <f t="shared" si="27"/>
        <v>#REF!</v>
      </c>
    </row>
    <row r="146" spans="1:16" ht="24.75" customHeight="1" hidden="1">
      <c r="A146" s="394" t="s">
        <v>136</v>
      </c>
      <c r="B146" s="395" t="s">
        <v>137</v>
      </c>
      <c r="C146" s="404">
        <f>C147+C156</f>
        <v>3783844</v>
      </c>
      <c r="D146" s="404">
        <f aca="true" t="shared" si="28" ref="D146:L146">D147+D156</f>
        <v>153933</v>
      </c>
      <c r="E146" s="404">
        <f t="shared" si="28"/>
        <v>152030</v>
      </c>
      <c r="F146" s="404">
        <f t="shared" si="28"/>
        <v>0</v>
      </c>
      <c r="G146" s="404">
        <f t="shared" si="28"/>
        <v>0</v>
      </c>
      <c r="H146" s="404">
        <f t="shared" si="28"/>
        <v>0</v>
      </c>
      <c r="I146" s="404">
        <f t="shared" si="28"/>
        <v>1903</v>
      </c>
      <c r="J146" s="404">
        <f t="shared" si="28"/>
        <v>0</v>
      </c>
      <c r="K146" s="404">
        <f t="shared" si="28"/>
        <v>3419094</v>
      </c>
      <c r="L146" s="404">
        <f t="shared" si="28"/>
        <v>210817</v>
      </c>
      <c r="M146" s="404" t="e">
        <f>'03'!#REF!+'04'!#REF!</f>
        <v>#REF!</v>
      </c>
      <c r="N146" s="404" t="e">
        <f t="shared" si="26"/>
        <v>#REF!</v>
      </c>
      <c r="O146" s="404" t="e">
        <f>'07'!#REF!</f>
        <v>#REF!</v>
      </c>
      <c r="P146" s="404" t="e">
        <f t="shared" si="27"/>
        <v>#REF!</v>
      </c>
    </row>
    <row r="147" spans="1:16" ht="24.75" customHeight="1" hidden="1">
      <c r="A147" s="394" t="s">
        <v>52</v>
      </c>
      <c r="B147" s="433" t="s">
        <v>138</v>
      </c>
      <c r="C147" s="404">
        <f>SUM(C148:C155)</f>
        <v>3570996</v>
      </c>
      <c r="D147" s="404">
        <f aca="true" t="shared" si="29" ref="D147:L147">SUM(D148:D155)</f>
        <v>28994</v>
      </c>
      <c r="E147" s="404">
        <f t="shared" si="29"/>
        <v>28591</v>
      </c>
      <c r="F147" s="404">
        <f t="shared" si="29"/>
        <v>0</v>
      </c>
      <c r="G147" s="404">
        <f t="shared" si="29"/>
        <v>0</v>
      </c>
      <c r="H147" s="404">
        <f t="shared" si="29"/>
        <v>0</v>
      </c>
      <c r="I147" s="404">
        <f t="shared" si="29"/>
        <v>403</v>
      </c>
      <c r="J147" s="404">
        <f t="shared" si="29"/>
        <v>0</v>
      </c>
      <c r="K147" s="404">
        <f t="shared" si="29"/>
        <v>3331185</v>
      </c>
      <c r="L147" s="404">
        <f t="shared" si="29"/>
        <v>210817</v>
      </c>
      <c r="M147" s="404" t="e">
        <f>'03'!#REF!+'04'!#REF!</f>
        <v>#REF!</v>
      </c>
      <c r="N147" s="404" t="e">
        <f t="shared" si="26"/>
        <v>#REF!</v>
      </c>
      <c r="O147" s="404" t="e">
        <f>'07'!#REF!</f>
        <v>#REF!</v>
      </c>
      <c r="P147" s="404" t="e">
        <f t="shared" si="27"/>
        <v>#REF!</v>
      </c>
    </row>
    <row r="148" spans="1:16" ht="24.75" customHeight="1" hidden="1">
      <c r="A148" s="431" t="s">
        <v>54</v>
      </c>
      <c r="B148" s="432" t="s">
        <v>139</v>
      </c>
      <c r="C148" s="404">
        <f aca="true" t="shared" si="30" ref="C148:C156">D148+K148+L148</f>
        <v>151549</v>
      </c>
      <c r="D148" s="404">
        <f aca="true" t="shared" si="31" ref="D148:D156">E148+F148+G148+H148+I148+J148</f>
        <v>12849</v>
      </c>
      <c r="E148" s="409">
        <v>12446</v>
      </c>
      <c r="F148" s="409"/>
      <c r="G148" s="409"/>
      <c r="H148" s="409"/>
      <c r="I148" s="409">
        <v>403</v>
      </c>
      <c r="J148" s="409"/>
      <c r="K148" s="409">
        <v>35200</v>
      </c>
      <c r="L148" s="409">
        <v>103500</v>
      </c>
      <c r="M148" s="409" t="e">
        <f>'03'!#REF!+'04'!#REF!</f>
        <v>#REF!</v>
      </c>
      <c r="N148" s="409" t="e">
        <f t="shared" si="26"/>
        <v>#REF!</v>
      </c>
      <c r="O148" s="409" t="e">
        <f>'07'!#REF!</f>
        <v>#REF!</v>
      </c>
      <c r="P148" s="409" t="e">
        <f t="shared" si="27"/>
        <v>#REF!</v>
      </c>
    </row>
    <row r="149" spans="1:16" ht="24.75" customHeight="1" hidden="1">
      <c r="A149" s="431" t="s">
        <v>55</v>
      </c>
      <c r="B149" s="432" t="s">
        <v>140</v>
      </c>
      <c r="C149" s="404">
        <f t="shared" si="30"/>
        <v>0</v>
      </c>
      <c r="D149" s="404">
        <f t="shared" si="31"/>
        <v>0</v>
      </c>
      <c r="E149" s="409"/>
      <c r="F149" s="409"/>
      <c r="G149" s="409"/>
      <c r="H149" s="409"/>
      <c r="I149" s="409"/>
      <c r="J149" s="409"/>
      <c r="K149" s="409"/>
      <c r="L149" s="409"/>
      <c r="M149" s="409" t="e">
        <f>'03'!#REF!+'04'!#REF!</f>
        <v>#REF!</v>
      </c>
      <c r="N149" s="409" t="e">
        <f t="shared" si="26"/>
        <v>#REF!</v>
      </c>
      <c r="O149" s="409" t="e">
        <f>'07'!#REF!</f>
        <v>#REF!</v>
      </c>
      <c r="P149" s="409" t="e">
        <f t="shared" si="27"/>
        <v>#REF!</v>
      </c>
    </row>
    <row r="150" spans="1:16" ht="24.75" customHeight="1" hidden="1">
      <c r="A150" s="431" t="s">
        <v>141</v>
      </c>
      <c r="B150" s="432" t="s">
        <v>202</v>
      </c>
      <c r="C150" s="404">
        <f t="shared" si="30"/>
        <v>0</v>
      </c>
      <c r="D150" s="404">
        <f t="shared" si="31"/>
        <v>0</v>
      </c>
      <c r="E150" s="409"/>
      <c r="F150" s="409"/>
      <c r="G150" s="409"/>
      <c r="H150" s="409"/>
      <c r="I150" s="409"/>
      <c r="J150" s="409"/>
      <c r="K150" s="409"/>
      <c r="L150" s="409"/>
      <c r="M150" s="409" t="e">
        <f>'03'!#REF!</f>
        <v>#REF!</v>
      </c>
      <c r="N150" s="409" t="e">
        <f t="shared" si="26"/>
        <v>#REF!</v>
      </c>
      <c r="O150" s="409" t="e">
        <f>'07'!#REF!</f>
        <v>#REF!</v>
      </c>
      <c r="P150" s="409" t="e">
        <f t="shared" si="27"/>
        <v>#REF!</v>
      </c>
    </row>
    <row r="151" spans="1:16" ht="24.75" customHeight="1" hidden="1">
      <c r="A151" s="431" t="s">
        <v>143</v>
      </c>
      <c r="B151" s="432" t="s">
        <v>142</v>
      </c>
      <c r="C151" s="404">
        <f t="shared" si="30"/>
        <v>3068593</v>
      </c>
      <c r="D151" s="404">
        <f t="shared" si="31"/>
        <v>0</v>
      </c>
      <c r="E151" s="409"/>
      <c r="F151" s="409"/>
      <c r="G151" s="409"/>
      <c r="H151" s="409"/>
      <c r="I151" s="409"/>
      <c r="J151" s="409"/>
      <c r="K151" s="409">
        <v>3068593</v>
      </c>
      <c r="L151" s="409"/>
      <c r="M151" s="409" t="e">
        <f>'03'!#REF!+'04'!#REF!</f>
        <v>#REF!</v>
      </c>
      <c r="N151" s="409" t="e">
        <f t="shared" si="26"/>
        <v>#REF!</v>
      </c>
      <c r="O151" s="409" t="e">
        <f>'07'!#REF!</f>
        <v>#REF!</v>
      </c>
      <c r="P151" s="409" t="e">
        <f t="shared" si="27"/>
        <v>#REF!</v>
      </c>
    </row>
    <row r="152" spans="1:16" ht="24.75" customHeight="1" hidden="1">
      <c r="A152" s="431" t="s">
        <v>145</v>
      </c>
      <c r="B152" s="432" t="s">
        <v>144</v>
      </c>
      <c r="C152" s="404">
        <f t="shared" si="30"/>
        <v>198092</v>
      </c>
      <c r="D152" s="404">
        <f t="shared" si="31"/>
        <v>0</v>
      </c>
      <c r="E152" s="409"/>
      <c r="F152" s="409"/>
      <c r="G152" s="409"/>
      <c r="H152" s="409"/>
      <c r="I152" s="409"/>
      <c r="J152" s="409"/>
      <c r="K152" s="409">
        <v>198092</v>
      </c>
      <c r="L152" s="409"/>
      <c r="M152" s="409" t="e">
        <f>'03'!#REF!+'04'!#REF!</f>
        <v>#REF!</v>
      </c>
      <c r="N152" s="409" t="e">
        <f t="shared" si="26"/>
        <v>#REF!</v>
      </c>
      <c r="O152" s="409" t="e">
        <f>'07'!#REF!</f>
        <v>#REF!</v>
      </c>
      <c r="P152" s="409" t="e">
        <f t="shared" si="27"/>
        <v>#REF!</v>
      </c>
    </row>
    <row r="153" spans="1:16" ht="24.75" customHeight="1" hidden="1">
      <c r="A153" s="431" t="s">
        <v>147</v>
      </c>
      <c r="B153" s="432" t="s">
        <v>146</v>
      </c>
      <c r="C153" s="404">
        <f t="shared" si="30"/>
        <v>0</v>
      </c>
      <c r="D153" s="404">
        <f t="shared" si="31"/>
        <v>0</v>
      </c>
      <c r="E153" s="409"/>
      <c r="F153" s="409"/>
      <c r="G153" s="409"/>
      <c r="H153" s="409"/>
      <c r="I153" s="409"/>
      <c r="J153" s="409"/>
      <c r="K153" s="409"/>
      <c r="L153" s="409"/>
      <c r="M153" s="409" t="e">
        <f>'03'!#REF!+'04'!#REF!</f>
        <v>#REF!</v>
      </c>
      <c r="N153" s="409" t="e">
        <f t="shared" si="26"/>
        <v>#REF!</v>
      </c>
      <c r="O153" s="409" t="e">
        <f>'07'!#REF!</f>
        <v>#REF!</v>
      </c>
      <c r="P153" s="409" t="e">
        <f t="shared" si="27"/>
        <v>#REF!</v>
      </c>
    </row>
    <row r="154" spans="1:16" ht="24.75" customHeight="1" hidden="1">
      <c r="A154" s="431" t="s">
        <v>149</v>
      </c>
      <c r="B154" s="434" t="s">
        <v>148</v>
      </c>
      <c r="C154" s="404">
        <f t="shared" si="30"/>
        <v>0</v>
      </c>
      <c r="D154" s="404">
        <f t="shared" si="31"/>
        <v>0</v>
      </c>
      <c r="E154" s="409"/>
      <c r="F154" s="409"/>
      <c r="G154" s="409"/>
      <c r="H154" s="409"/>
      <c r="I154" s="409"/>
      <c r="J154" s="409"/>
      <c r="K154" s="409"/>
      <c r="L154" s="409"/>
      <c r="M154" s="409" t="e">
        <f>'03'!#REF!+'04'!#REF!</f>
        <v>#REF!</v>
      </c>
      <c r="N154" s="409" t="e">
        <f t="shared" si="26"/>
        <v>#REF!</v>
      </c>
      <c r="O154" s="409" t="e">
        <f>'07'!#REF!</f>
        <v>#REF!</v>
      </c>
      <c r="P154" s="409" t="e">
        <f t="shared" si="27"/>
        <v>#REF!</v>
      </c>
    </row>
    <row r="155" spans="1:16" ht="24.75" customHeight="1" hidden="1">
      <c r="A155" s="431" t="s">
        <v>186</v>
      </c>
      <c r="B155" s="432" t="s">
        <v>150</v>
      </c>
      <c r="C155" s="404">
        <f t="shared" si="30"/>
        <v>152762</v>
      </c>
      <c r="D155" s="404">
        <f t="shared" si="31"/>
        <v>16145</v>
      </c>
      <c r="E155" s="409">
        <v>16145</v>
      </c>
      <c r="F155" s="409"/>
      <c r="G155" s="409"/>
      <c r="H155" s="409"/>
      <c r="I155" s="409"/>
      <c r="J155" s="409"/>
      <c r="K155" s="409">
        <v>29300</v>
      </c>
      <c r="L155" s="409">
        <v>107317</v>
      </c>
      <c r="M155" s="409" t="e">
        <f>'03'!#REF!+'04'!#REF!</f>
        <v>#REF!</v>
      </c>
      <c r="N155" s="409" t="e">
        <f t="shared" si="26"/>
        <v>#REF!</v>
      </c>
      <c r="O155" s="409" t="e">
        <f>'07'!#REF!</f>
        <v>#REF!</v>
      </c>
      <c r="P155" s="409" t="e">
        <f t="shared" si="27"/>
        <v>#REF!</v>
      </c>
    </row>
    <row r="156" spans="1:16" ht="24.75" customHeight="1" hidden="1">
      <c r="A156" s="394" t="s">
        <v>53</v>
      </c>
      <c r="B156" s="395" t="s">
        <v>151</v>
      </c>
      <c r="C156" s="404">
        <f t="shared" si="30"/>
        <v>212848</v>
      </c>
      <c r="D156" s="404">
        <f t="shared" si="31"/>
        <v>124939</v>
      </c>
      <c r="E156" s="409">
        <v>123439</v>
      </c>
      <c r="F156" s="409"/>
      <c r="G156" s="409"/>
      <c r="H156" s="409"/>
      <c r="I156" s="409">
        <v>1500</v>
      </c>
      <c r="J156" s="409"/>
      <c r="K156" s="409">
        <v>87909</v>
      </c>
      <c r="L156" s="409"/>
      <c r="M156" s="404" t="e">
        <f>'03'!#REF!+'04'!#REF!</f>
        <v>#REF!</v>
      </c>
      <c r="N156" s="404" t="e">
        <f t="shared" si="26"/>
        <v>#REF!</v>
      </c>
      <c r="O156" s="404" t="e">
        <f>'07'!#REF!</f>
        <v>#REF!</v>
      </c>
      <c r="P156" s="404" t="e">
        <f t="shared" si="27"/>
        <v>#REF!</v>
      </c>
    </row>
    <row r="157" spans="1:16" ht="24.75" customHeight="1" hidden="1">
      <c r="A157" s="463" t="s">
        <v>76</v>
      </c>
      <c r="B157" s="492" t="s">
        <v>215</v>
      </c>
      <c r="C157" s="476">
        <f>(C148+C149+C150)/C147</f>
        <v>0.04243886019474679</v>
      </c>
      <c r="D157" s="396">
        <f aca="true" t="shared" si="32" ref="D157:L157">(D148+D149+D150)/D147</f>
        <v>0.443160653928399</v>
      </c>
      <c r="E157" s="414">
        <f t="shared" si="32"/>
        <v>0.43531181140918473</v>
      </c>
      <c r="F157" s="414" t="e">
        <f t="shared" si="32"/>
        <v>#DIV/0!</v>
      </c>
      <c r="G157" s="414" t="e">
        <f t="shared" si="32"/>
        <v>#DIV/0!</v>
      </c>
      <c r="H157" s="414" t="e">
        <f t="shared" si="32"/>
        <v>#DIV/0!</v>
      </c>
      <c r="I157" s="414">
        <f t="shared" si="32"/>
        <v>1</v>
      </c>
      <c r="J157" s="414" t="e">
        <f t="shared" si="32"/>
        <v>#DIV/0!</v>
      </c>
      <c r="K157" s="414">
        <f t="shared" si="32"/>
        <v>0.010566810309244308</v>
      </c>
      <c r="L157" s="414">
        <f t="shared" si="32"/>
        <v>0.4909471247574911</v>
      </c>
      <c r="M157" s="425"/>
      <c r="N157" s="493"/>
      <c r="O157" s="493"/>
      <c r="P157" s="493"/>
    </row>
    <row r="158" spans="1:16" ht="17.25" hidden="1">
      <c r="A158" s="1515" t="s">
        <v>500</v>
      </c>
      <c r="B158" s="1515"/>
      <c r="C158" s="409">
        <f>C141-C144-C145-C146</f>
        <v>0</v>
      </c>
      <c r="D158" s="409">
        <f aca="true" t="shared" si="33" ref="D158:L158">D141-D144-D145-D146</f>
        <v>0</v>
      </c>
      <c r="E158" s="409">
        <f t="shared" si="33"/>
        <v>0</v>
      </c>
      <c r="F158" s="409">
        <f t="shared" si="33"/>
        <v>0</v>
      </c>
      <c r="G158" s="409">
        <f t="shared" si="33"/>
        <v>0</v>
      </c>
      <c r="H158" s="409">
        <f t="shared" si="33"/>
        <v>0</v>
      </c>
      <c r="I158" s="409">
        <f t="shared" si="33"/>
        <v>0</v>
      </c>
      <c r="J158" s="409">
        <f t="shared" si="33"/>
        <v>0</v>
      </c>
      <c r="K158" s="409">
        <f t="shared" si="33"/>
        <v>0</v>
      </c>
      <c r="L158" s="409">
        <f t="shared" si="33"/>
        <v>0</v>
      </c>
      <c r="M158" s="425"/>
      <c r="N158" s="493"/>
      <c r="O158" s="493"/>
      <c r="P158" s="493"/>
    </row>
    <row r="159" spans="1:16" ht="17.25" hidden="1">
      <c r="A159" s="1516" t="s">
        <v>501</v>
      </c>
      <c r="B159" s="1516"/>
      <c r="C159" s="409">
        <f>C146-C147-C156</f>
        <v>0</v>
      </c>
      <c r="D159" s="409">
        <f aca="true" t="shared" si="34" ref="D159:L159">D146-D147-D156</f>
        <v>0</v>
      </c>
      <c r="E159" s="409">
        <f t="shared" si="34"/>
        <v>0</v>
      </c>
      <c r="F159" s="409">
        <f t="shared" si="34"/>
        <v>0</v>
      </c>
      <c r="G159" s="409">
        <f t="shared" si="34"/>
        <v>0</v>
      </c>
      <c r="H159" s="409">
        <f t="shared" si="34"/>
        <v>0</v>
      </c>
      <c r="I159" s="409">
        <f t="shared" si="34"/>
        <v>0</v>
      </c>
      <c r="J159" s="409">
        <f t="shared" si="34"/>
        <v>0</v>
      </c>
      <c r="K159" s="409">
        <f t="shared" si="34"/>
        <v>0</v>
      </c>
      <c r="L159" s="409">
        <f t="shared" si="34"/>
        <v>0</v>
      </c>
      <c r="M159" s="425"/>
      <c r="N159" s="493"/>
      <c r="O159" s="493"/>
      <c r="P159" s="493"/>
    </row>
    <row r="160" spans="1:16" ht="18.75" hidden="1">
      <c r="A160" s="478"/>
      <c r="B160" s="494" t="s">
        <v>520</v>
      </c>
      <c r="C160" s="494"/>
      <c r="D160" s="466"/>
      <c r="E160" s="466"/>
      <c r="F160" s="466"/>
      <c r="G160" s="1518" t="s">
        <v>520</v>
      </c>
      <c r="H160" s="1518"/>
      <c r="I160" s="1518"/>
      <c r="J160" s="1518"/>
      <c r="K160" s="1518"/>
      <c r="L160" s="1518"/>
      <c r="M160" s="481"/>
      <c r="N160" s="481"/>
      <c r="O160" s="481"/>
      <c r="P160" s="481"/>
    </row>
    <row r="161" spans="1:16" ht="18.75" hidden="1">
      <c r="A161" s="1551" t="s">
        <v>4</v>
      </c>
      <c r="B161" s="1551"/>
      <c r="C161" s="1551"/>
      <c r="D161" s="1551"/>
      <c r="E161" s="466"/>
      <c r="F161" s="466"/>
      <c r="G161" s="495"/>
      <c r="H161" s="1552" t="s">
        <v>521</v>
      </c>
      <c r="I161" s="1552"/>
      <c r="J161" s="1552"/>
      <c r="K161" s="1552"/>
      <c r="L161" s="1552"/>
      <c r="M161" s="481"/>
      <c r="N161" s="481"/>
      <c r="O161" s="481"/>
      <c r="P161" s="481"/>
    </row>
    <row r="162" ht="15" hidden="1"/>
    <row r="163" ht="15" hidden="1"/>
    <row r="164" ht="15" hidden="1"/>
    <row r="165" ht="15" hidden="1"/>
    <row r="166" ht="15" hidden="1"/>
    <row r="167" ht="15" hidden="1"/>
    <row r="168" ht="15" hidden="1"/>
    <row r="169" ht="15" hidden="1"/>
    <row r="170" ht="15" hidden="1"/>
    <row r="171" ht="15" hidden="1"/>
    <row r="172" spans="1:13" ht="16.5" hidden="1">
      <c r="A172" s="1540" t="s">
        <v>33</v>
      </c>
      <c r="B172" s="1541"/>
      <c r="C172" s="477"/>
      <c r="D172" s="1532" t="s">
        <v>79</v>
      </c>
      <c r="E172" s="1532"/>
      <c r="F172" s="1532"/>
      <c r="G172" s="1532"/>
      <c r="H172" s="1532"/>
      <c r="I172" s="1532"/>
      <c r="J172" s="1532"/>
      <c r="K172" s="1542"/>
      <c r="L172" s="1542"/>
      <c r="M172" s="481"/>
    </row>
    <row r="173" spans="1:13" ht="16.5" hidden="1">
      <c r="A173" s="1495" t="s">
        <v>344</v>
      </c>
      <c r="B173" s="1495"/>
      <c r="C173" s="1495"/>
      <c r="D173" s="1532" t="s">
        <v>216</v>
      </c>
      <c r="E173" s="1532"/>
      <c r="F173" s="1532"/>
      <c r="G173" s="1532"/>
      <c r="H173" s="1532"/>
      <c r="I173" s="1532"/>
      <c r="J173" s="1532"/>
      <c r="K173" s="1539" t="s">
        <v>510</v>
      </c>
      <c r="L173" s="1539"/>
      <c r="M173" s="478"/>
    </row>
    <row r="174" spans="1:13" ht="16.5" hidden="1">
      <c r="A174" s="1495" t="s">
        <v>345</v>
      </c>
      <c r="B174" s="1495"/>
      <c r="C174" s="415"/>
      <c r="D174" s="1543" t="s">
        <v>11</v>
      </c>
      <c r="E174" s="1543"/>
      <c r="F174" s="1543"/>
      <c r="G174" s="1543"/>
      <c r="H174" s="1543"/>
      <c r="I174" s="1543"/>
      <c r="J174" s="1543"/>
      <c r="K174" s="1542"/>
      <c r="L174" s="1542"/>
      <c r="M174" s="481"/>
    </row>
    <row r="175" spans="1:13" ht="15.75" hidden="1">
      <c r="A175" s="436" t="s">
        <v>119</v>
      </c>
      <c r="B175" s="436"/>
      <c r="C175" s="421"/>
      <c r="D175" s="409"/>
      <c r="E175" s="409">
        <v>885923</v>
      </c>
      <c r="F175" s="409"/>
      <c r="G175" s="409">
        <v>131438</v>
      </c>
      <c r="H175" s="409"/>
      <c r="I175" s="409">
        <v>900603</v>
      </c>
      <c r="J175" s="409"/>
      <c r="K175" s="409">
        <v>4102035.7</v>
      </c>
      <c r="L175" s="409"/>
      <c r="M175" s="478"/>
    </row>
    <row r="176" spans="1:13" ht="15.75" hidden="1">
      <c r="A176" s="482"/>
      <c r="B176" s="482" t="s">
        <v>94</v>
      </c>
      <c r="C176" s="482"/>
      <c r="D176" s="482"/>
      <c r="E176" s="482"/>
      <c r="F176" s="482"/>
      <c r="G176" s="482"/>
      <c r="H176" s="482"/>
      <c r="I176" s="482"/>
      <c r="J176" s="482"/>
      <c r="K176" s="1534"/>
      <c r="L176" s="1534"/>
      <c r="M176" s="478"/>
    </row>
    <row r="177" spans="1:13" ht="15.75" hidden="1">
      <c r="A177" s="1143" t="s">
        <v>71</v>
      </c>
      <c r="B177" s="1144"/>
      <c r="C177" s="1509" t="s">
        <v>38</v>
      </c>
      <c r="D177" s="1519" t="s">
        <v>339</v>
      </c>
      <c r="E177" s="1519"/>
      <c r="F177" s="1519"/>
      <c r="G177" s="1519"/>
      <c r="H177" s="1519"/>
      <c r="I177" s="1519"/>
      <c r="J177" s="1519"/>
      <c r="K177" s="1519"/>
      <c r="L177" s="1519"/>
      <c r="M177" s="481"/>
    </row>
    <row r="178" spans="1:13" ht="15.75" hidden="1">
      <c r="A178" s="1145"/>
      <c r="B178" s="1146"/>
      <c r="C178" s="1509"/>
      <c r="D178" s="1545" t="s">
        <v>207</v>
      </c>
      <c r="E178" s="1546"/>
      <c r="F178" s="1546"/>
      <c r="G178" s="1546"/>
      <c r="H178" s="1546"/>
      <c r="I178" s="1546"/>
      <c r="J178" s="1547"/>
      <c r="K178" s="1548" t="s">
        <v>208</v>
      </c>
      <c r="L178" s="1548" t="s">
        <v>209</v>
      </c>
      <c r="M178" s="478"/>
    </row>
    <row r="179" spans="1:13" ht="15.75" hidden="1">
      <c r="A179" s="1145"/>
      <c r="B179" s="1146"/>
      <c r="C179" s="1509"/>
      <c r="D179" s="1555" t="s">
        <v>37</v>
      </c>
      <c r="E179" s="1556" t="s">
        <v>7</v>
      </c>
      <c r="F179" s="1557"/>
      <c r="G179" s="1557"/>
      <c r="H179" s="1557"/>
      <c r="I179" s="1557"/>
      <c r="J179" s="1558"/>
      <c r="K179" s="1549"/>
      <c r="L179" s="1553"/>
      <c r="M179" s="478"/>
    </row>
    <row r="180" spans="1:16" ht="15.75" hidden="1">
      <c r="A180" s="1513"/>
      <c r="B180" s="1514"/>
      <c r="C180" s="1509"/>
      <c r="D180" s="1555"/>
      <c r="E180" s="484" t="s">
        <v>210</v>
      </c>
      <c r="F180" s="484" t="s">
        <v>211</v>
      </c>
      <c r="G180" s="484" t="s">
        <v>212</v>
      </c>
      <c r="H180" s="484" t="s">
        <v>213</v>
      </c>
      <c r="I180" s="484" t="s">
        <v>346</v>
      </c>
      <c r="J180" s="484" t="s">
        <v>214</v>
      </c>
      <c r="K180" s="1550"/>
      <c r="L180" s="1554"/>
      <c r="M180" s="1507" t="s">
        <v>502</v>
      </c>
      <c r="N180" s="1507"/>
      <c r="O180" s="1507"/>
      <c r="P180" s="1507"/>
    </row>
    <row r="181" spans="1:16" ht="15" hidden="1">
      <c r="A181" s="1511" t="s">
        <v>6</v>
      </c>
      <c r="B181" s="1512"/>
      <c r="C181" s="485">
        <v>1</v>
      </c>
      <c r="D181" s="486">
        <v>2</v>
      </c>
      <c r="E181" s="485">
        <v>3</v>
      </c>
      <c r="F181" s="486">
        <v>4</v>
      </c>
      <c r="G181" s="485">
        <v>5</v>
      </c>
      <c r="H181" s="486">
        <v>6</v>
      </c>
      <c r="I181" s="485">
        <v>7</v>
      </c>
      <c r="J181" s="486">
        <v>8</v>
      </c>
      <c r="K181" s="485">
        <v>9</v>
      </c>
      <c r="L181" s="486">
        <v>10</v>
      </c>
      <c r="M181" s="487" t="s">
        <v>503</v>
      </c>
      <c r="N181" s="488" t="s">
        <v>506</v>
      </c>
      <c r="O181" s="488" t="s">
        <v>504</v>
      </c>
      <c r="P181" s="488" t="s">
        <v>505</v>
      </c>
    </row>
    <row r="182" spans="1:16" ht="24.75" customHeight="1" hidden="1">
      <c r="A182" s="428" t="s">
        <v>0</v>
      </c>
      <c r="B182" s="429" t="s">
        <v>131</v>
      </c>
      <c r="C182" s="404">
        <f>C183+C184</f>
        <v>18825447</v>
      </c>
      <c r="D182" s="404">
        <f aca="true" t="shared" si="35" ref="D182:L182">D183+D184</f>
        <v>2403583</v>
      </c>
      <c r="E182" s="404">
        <f t="shared" si="35"/>
        <v>1170412</v>
      </c>
      <c r="F182" s="404">
        <f t="shared" si="35"/>
        <v>0</v>
      </c>
      <c r="G182" s="404">
        <f t="shared" si="35"/>
        <v>131438</v>
      </c>
      <c r="H182" s="404">
        <f t="shared" si="35"/>
        <v>651569</v>
      </c>
      <c r="I182" s="404">
        <f t="shared" si="35"/>
        <v>276284</v>
      </c>
      <c r="J182" s="404">
        <f t="shared" si="35"/>
        <v>173880</v>
      </c>
      <c r="K182" s="404">
        <f t="shared" si="35"/>
        <v>2849581</v>
      </c>
      <c r="L182" s="404">
        <f t="shared" si="35"/>
        <v>13572283</v>
      </c>
      <c r="M182" s="404" t="e">
        <f>'03'!#REF!+'04'!#REF!</f>
        <v>#REF!</v>
      </c>
      <c r="N182" s="404" t="e">
        <f>C182-M182</f>
        <v>#REF!</v>
      </c>
      <c r="O182" s="404" t="e">
        <f>'07'!#REF!</f>
        <v>#REF!</v>
      </c>
      <c r="P182" s="404" t="e">
        <f>C182-O182</f>
        <v>#REF!</v>
      </c>
    </row>
    <row r="183" spans="1:16" ht="24.75" customHeight="1" hidden="1">
      <c r="A183" s="431">
        <v>1</v>
      </c>
      <c r="B183" s="432" t="s">
        <v>132</v>
      </c>
      <c r="C183" s="404">
        <f>D183+K183+L183</f>
        <v>6020000</v>
      </c>
      <c r="D183" s="404">
        <f>E183+F183+G183+H183+I183+J183</f>
        <v>1917964</v>
      </c>
      <c r="E183" s="409">
        <v>885923</v>
      </c>
      <c r="F183" s="409">
        <v>0</v>
      </c>
      <c r="G183" s="409">
        <v>131438</v>
      </c>
      <c r="H183" s="409">
        <v>649319</v>
      </c>
      <c r="I183" s="409">
        <v>251284</v>
      </c>
      <c r="J183" s="409">
        <v>0</v>
      </c>
      <c r="K183" s="409">
        <v>442933</v>
      </c>
      <c r="L183" s="409">
        <v>3659103</v>
      </c>
      <c r="M183" s="409" t="e">
        <f>'03'!#REF!+'04'!#REF!</f>
        <v>#REF!</v>
      </c>
      <c r="N183" s="409" t="e">
        <f aca="true" t="shared" si="36" ref="N183:N197">C183-M183</f>
        <v>#REF!</v>
      </c>
      <c r="O183" s="409" t="e">
        <f>'07'!#REF!</f>
        <v>#REF!</v>
      </c>
      <c r="P183" s="409" t="e">
        <f aca="true" t="shared" si="37" ref="P183:P197">C183-O183</f>
        <v>#REF!</v>
      </c>
    </row>
    <row r="184" spans="1:16" ht="24.75" customHeight="1" hidden="1">
      <c r="A184" s="431">
        <v>2</v>
      </c>
      <c r="B184" s="432" t="s">
        <v>133</v>
      </c>
      <c r="C184" s="404">
        <f>D184+K184+L184</f>
        <v>12805447</v>
      </c>
      <c r="D184" s="404">
        <f>E184+F184+G184+H184+I184+J184</f>
        <v>485619</v>
      </c>
      <c r="E184" s="409">
        <v>284489</v>
      </c>
      <c r="F184" s="409">
        <v>0</v>
      </c>
      <c r="G184" s="409">
        <v>0</v>
      </c>
      <c r="H184" s="409">
        <v>2250</v>
      </c>
      <c r="I184" s="409">
        <v>25000</v>
      </c>
      <c r="J184" s="409">
        <v>173880</v>
      </c>
      <c r="K184" s="409">
        <v>2406648</v>
      </c>
      <c r="L184" s="409">
        <v>9913180</v>
      </c>
      <c r="M184" s="409" t="e">
        <f>'03'!#REF!+'04'!#REF!</f>
        <v>#REF!</v>
      </c>
      <c r="N184" s="409" t="e">
        <f t="shared" si="36"/>
        <v>#REF!</v>
      </c>
      <c r="O184" s="409" t="e">
        <f>'07'!#REF!</f>
        <v>#REF!</v>
      </c>
      <c r="P184" s="409" t="e">
        <f t="shared" si="37"/>
        <v>#REF!</v>
      </c>
    </row>
    <row r="185" spans="1:16" ht="24.75" customHeight="1" hidden="1">
      <c r="A185" s="394" t="s">
        <v>1</v>
      </c>
      <c r="B185" s="395" t="s">
        <v>134</v>
      </c>
      <c r="C185" s="404">
        <f>D185+K185+L185</f>
        <v>111980</v>
      </c>
      <c r="D185" s="404">
        <f>E185+F185+G185+H185+I185+J185</f>
        <v>10580</v>
      </c>
      <c r="E185" s="409">
        <v>10580</v>
      </c>
      <c r="F185" s="409">
        <v>0</v>
      </c>
      <c r="G185" s="409">
        <v>0</v>
      </c>
      <c r="H185" s="409">
        <v>0</v>
      </c>
      <c r="I185" s="409">
        <v>0</v>
      </c>
      <c r="J185" s="409">
        <v>0</v>
      </c>
      <c r="K185" s="409">
        <v>0</v>
      </c>
      <c r="L185" s="409">
        <v>101400</v>
      </c>
      <c r="M185" s="409" t="e">
        <f>'03'!#REF!+'04'!#REF!</f>
        <v>#REF!</v>
      </c>
      <c r="N185" s="409" t="e">
        <f t="shared" si="36"/>
        <v>#REF!</v>
      </c>
      <c r="O185" s="409" t="e">
        <f>'07'!#REF!</f>
        <v>#REF!</v>
      </c>
      <c r="P185" s="409" t="e">
        <f t="shared" si="37"/>
        <v>#REF!</v>
      </c>
    </row>
    <row r="186" spans="1:16" ht="24.75" customHeight="1" hidden="1">
      <c r="A186" s="394" t="s">
        <v>9</v>
      </c>
      <c r="B186" s="395" t="s">
        <v>135</v>
      </c>
      <c r="C186" s="404">
        <f>D186+K186+L186</f>
        <v>0</v>
      </c>
      <c r="D186" s="404">
        <f>E186+F186+G186+H186+I186+J186</f>
        <v>0</v>
      </c>
      <c r="E186" s="409">
        <v>0</v>
      </c>
      <c r="F186" s="409">
        <v>0</v>
      </c>
      <c r="G186" s="409">
        <v>0</v>
      </c>
      <c r="H186" s="409">
        <v>0</v>
      </c>
      <c r="I186" s="409">
        <v>0</v>
      </c>
      <c r="J186" s="409">
        <v>0</v>
      </c>
      <c r="K186" s="409">
        <v>0</v>
      </c>
      <c r="L186" s="409">
        <v>0</v>
      </c>
      <c r="M186" s="409" t="e">
        <f>'03'!#REF!+'04'!#REF!</f>
        <v>#REF!</v>
      </c>
      <c r="N186" s="409" t="e">
        <f t="shared" si="36"/>
        <v>#REF!</v>
      </c>
      <c r="O186" s="409" t="e">
        <f>'07'!#REF!</f>
        <v>#REF!</v>
      </c>
      <c r="P186" s="409" t="e">
        <f t="shared" si="37"/>
        <v>#REF!</v>
      </c>
    </row>
    <row r="187" spans="1:16" ht="24.75" customHeight="1" hidden="1">
      <c r="A187" s="394" t="s">
        <v>136</v>
      </c>
      <c r="B187" s="395" t="s">
        <v>137</v>
      </c>
      <c r="C187" s="404">
        <f>C188+C197</f>
        <v>18713467</v>
      </c>
      <c r="D187" s="404">
        <f aca="true" t="shared" si="38" ref="D187:L187">D188+D197</f>
        <v>2393003</v>
      </c>
      <c r="E187" s="404">
        <f t="shared" si="38"/>
        <v>1159832</v>
      </c>
      <c r="F187" s="404">
        <f t="shared" si="38"/>
        <v>0</v>
      </c>
      <c r="G187" s="404">
        <f t="shared" si="38"/>
        <v>131438</v>
      </c>
      <c r="H187" s="404">
        <f t="shared" si="38"/>
        <v>651569</v>
      </c>
      <c r="I187" s="404">
        <f t="shared" si="38"/>
        <v>276284</v>
      </c>
      <c r="J187" s="404">
        <f t="shared" si="38"/>
        <v>173880</v>
      </c>
      <c r="K187" s="404">
        <f t="shared" si="38"/>
        <v>2849581</v>
      </c>
      <c r="L187" s="404">
        <f t="shared" si="38"/>
        <v>13470883</v>
      </c>
      <c r="M187" s="404" t="e">
        <f>'03'!#REF!+'04'!#REF!</f>
        <v>#REF!</v>
      </c>
      <c r="N187" s="404" t="e">
        <f t="shared" si="36"/>
        <v>#REF!</v>
      </c>
      <c r="O187" s="404" t="e">
        <f>'07'!#REF!</f>
        <v>#REF!</v>
      </c>
      <c r="P187" s="404" t="e">
        <f t="shared" si="37"/>
        <v>#REF!</v>
      </c>
    </row>
    <row r="188" spans="1:16" ht="24.75" customHeight="1" hidden="1">
      <c r="A188" s="394" t="s">
        <v>52</v>
      </c>
      <c r="B188" s="433" t="s">
        <v>138</v>
      </c>
      <c r="C188" s="404">
        <f>SUM(C189:C196)</f>
        <v>16624101</v>
      </c>
      <c r="D188" s="404">
        <f aca="true" t="shared" si="39" ref="D188:L188">SUM(D189:D196)</f>
        <v>670472</v>
      </c>
      <c r="E188" s="404">
        <f t="shared" si="39"/>
        <v>468342</v>
      </c>
      <c r="F188" s="404">
        <f t="shared" si="39"/>
        <v>0</v>
      </c>
      <c r="G188" s="404">
        <f t="shared" si="39"/>
        <v>1000</v>
      </c>
      <c r="H188" s="404">
        <f t="shared" si="39"/>
        <v>2250</v>
      </c>
      <c r="I188" s="404">
        <f t="shared" si="39"/>
        <v>25000</v>
      </c>
      <c r="J188" s="404">
        <f t="shared" si="39"/>
        <v>173880</v>
      </c>
      <c r="K188" s="404">
        <f t="shared" si="39"/>
        <v>2849581</v>
      </c>
      <c r="L188" s="404">
        <f t="shared" si="39"/>
        <v>13104048</v>
      </c>
      <c r="M188" s="404" t="e">
        <f>'03'!#REF!+'04'!#REF!</f>
        <v>#REF!</v>
      </c>
      <c r="N188" s="404" t="e">
        <f t="shared" si="36"/>
        <v>#REF!</v>
      </c>
      <c r="O188" s="404" t="e">
        <f>'07'!#REF!</f>
        <v>#REF!</v>
      </c>
      <c r="P188" s="404" t="e">
        <f t="shared" si="37"/>
        <v>#REF!</v>
      </c>
    </row>
    <row r="189" spans="1:16" ht="24.75" customHeight="1" hidden="1">
      <c r="A189" s="431" t="s">
        <v>54</v>
      </c>
      <c r="B189" s="432" t="s">
        <v>139</v>
      </c>
      <c r="C189" s="404">
        <f aca="true" t="shared" si="40" ref="C189:C197">D189+K189+L189</f>
        <v>2436657</v>
      </c>
      <c r="D189" s="404">
        <f aca="true" t="shared" si="41" ref="D189:D197">E189+F189+G189+H189+I189+J189</f>
        <v>272204</v>
      </c>
      <c r="E189" s="409">
        <v>124700</v>
      </c>
      <c r="F189" s="409">
        <v>0</v>
      </c>
      <c r="G189" s="409">
        <v>1000</v>
      </c>
      <c r="H189" s="409">
        <v>2250</v>
      </c>
      <c r="I189" s="409">
        <v>5000</v>
      </c>
      <c r="J189" s="409">
        <v>139254</v>
      </c>
      <c r="K189" s="409">
        <v>34708</v>
      </c>
      <c r="L189" s="409">
        <v>2129745</v>
      </c>
      <c r="M189" s="409" t="e">
        <f>'03'!#REF!+'04'!#REF!</f>
        <v>#REF!</v>
      </c>
      <c r="N189" s="409" t="e">
        <f t="shared" si="36"/>
        <v>#REF!</v>
      </c>
      <c r="O189" s="409" t="e">
        <f>'07'!#REF!</f>
        <v>#REF!</v>
      </c>
      <c r="P189" s="409" t="e">
        <f t="shared" si="37"/>
        <v>#REF!</v>
      </c>
    </row>
    <row r="190" spans="1:16" ht="24.75" customHeight="1" hidden="1">
      <c r="A190" s="431" t="s">
        <v>55</v>
      </c>
      <c r="B190" s="432" t="s">
        <v>140</v>
      </c>
      <c r="C190" s="404">
        <f t="shared" si="40"/>
        <v>418123</v>
      </c>
      <c r="D190" s="404">
        <f t="shared" si="41"/>
        <v>200</v>
      </c>
      <c r="E190" s="409">
        <v>200</v>
      </c>
      <c r="F190" s="409">
        <v>0</v>
      </c>
      <c r="G190" s="409">
        <v>0</v>
      </c>
      <c r="H190" s="409">
        <v>0</v>
      </c>
      <c r="I190" s="409">
        <v>0</v>
      </c>
      <c r="J190" s="409">
        <v>0</v>
      </c>
      <c r="K190" s="409">
        <v>0</v>
      </c>
      <c r="L190" s="409">
        <v>417923</v>
      </c>
      <c r="M190" s="409" t="e">
        <f>'03'!#REF!+'04'!#REF!</f>
        <v>#REF!</v>
      </c>
      <c r="N190" s="409" t="e">
        <f t="shared" si="36"/>
        <v>#REF!</v>
      </c>
      <c r="O190" s="409" t="e">
        <f>'07'!#REF!</f>
        <v>#REF!</v>
      </c>
      <c r="P190" s="409" t="e">
        <f t="shared" si="37"/>
        <v>#REF!</v>
      </c>
    </row>
    <row r="191" spans="1:16" ht="24.75" customHeight="1" hidden="1">
      <c r="A191" s="431" t="s">
        <v>141</v>
      </c>
      <c r="B191" s="432" t="s">
        <v>202</v>
      </c>
      <c r="C191" s="404">
        <f t="shared" si="40"/>
        <v>0</v>
      </c>
      <c r="D191" s="404">
        <f t="shared" si="41"/>
        <v>0</v>
      </c>
      <c r="E191" s="409">
        <v>0</v>
      </c>
      <c r="F191" s="409">
        <v>0</v>
      </c>
      <c r="G191" s="409">
        <v>0</v>
      </c>
      <c r="H191" s="409">
        <v>0</v>
      </c>
      <c r="I191" s="409">
        <v>0</v>
      </c>
      <c r="J191" s="409">
        <v>0</v>
      </c>
      <c r="K191" s="409">
        <v>0</v>
      </c>
      <c r="L191" s="409">
        <v>0</v>
      </c>
      <c r="M191" s="409" t="e">
        <f>'03'!#REF!</f>
        <v>#REF!</v>
      </c>
      <c r="N191" s="409" t="e">
        <f t="shared" si="36"/>
        <v>#REF!</v>
      </c>
      <c r="O191" s="409" t="e">
        <f>'07'!#REF!</f>
        <v>#REF!</v>
      </c>
      <c r="P191" s="409" t="e">
        <f t="shared" si="37"/>
        <v>#REF!</v>
      </c>
    </row>
    <row r="192" spans="1:16" ht="24.75" customHeight="1" hidden="1">
      <c r="A192" s="431" t="s">
        <v>143</v>
      </c>
      <c r="B192" s="432" t="s">
        <v>142</v>
      </c>
      <c r="C192" s="404">
        <f t="shared" si="40"/>
        <v>13654985</v>
      </c>
      <c r="D192" s="404">
        <f t="shared" si="41"/>
        <v>398068</v>
      </c>
      <c r="E192" s="409">
        <v>343442</v>
      </c>
      <c r="F192" s="409">
        <v>0</v>
      </c>
      <c r="G192" s="409">
        <v>0</v>
      </c>
      <c r="H192" s="409">
        <v>0</v>
      </c>
      <c r="I192" s="409">
        <v>20000</v>
      </c>
      <c r="J192" s="409">
        <v>34626</v>
      </c>
      <c r="K192" s="409">
        <v>2814873</v>
      </c>
      <c r="L192" s="409">
        <v>10442044</v>
      </c>
      <c r="M192" s="409" t="e">
        <f>'03'!#REF!+'04'!#REF!</f>
        <v>#REF!</v>
      </c>
      <c r="N192" s="409" t="e">
        <f t="shared" si="36"/>
        <v>#REF!</v>
      </c>
      <c r="O192" s="409" t="e">
        <f>'07'!#REF!</f>
        <v>#REF!</v>
      </c>
      <c r="P192" s="409" t="e">
        <f t="shared" si="37"/>
        <v>#REF!</v>
      </c>
    </row>
    <row r="193" spans="1:16" ht="24.75" customHeight="1" hidden="1">
      <c r="A193" s="431" t="s">
        <v>145</v>
      </c>
      <c r="B193" s="432" t="s">
        <v>144</v>
      </c>
      <c r="C193" s="404">
        <f t="shared" si="40"/>
        <v>0</v>
      </c>
      <c r="D193" s="404">
        <f t="shared" si="41"/>
        <v>0</v>
      </c>
      <c r="E193" s="409">
        <v>0</v>
      </c>
      <c r="F193" s="409">
        <v>0</v>
      </c>
      <c r="G193" s="409">
        <v>0</v>
      </c>
      <c r="H193" s="409">
        <v>0</v>
      </c>
      <c r="I193" s="409">
        <v>0</v>
      </c>
      <c r="J193" s="409">
        <v>0</v>
      </c>
      <c r="K193" s="409">
        <v>0</v>
      </c>
      <c r="L193" s="409">
        <v>0</v>
      </c>
      <c r="M193" s="409" t="e">
        <f>'03'!#REF!+'04'!#REF!</f>
        <v>#REF!</v>
      </c>
      <c r="N193" s="409" t="e">
        <f t="shared" si="36"/>
        <v>#REF!</v>
      </c>
      <c r="O193" s="409" t="e">
        <f>'07'!#REF!</f>
        <v>#REF!</v>
      </c>
      <c r="P193" s="409" t="e">
        <f t="shared" si="37"/>
        <v>#REF!</v>
      </c>
    </row>
    <row r="194" spans="1:16" ht="24.75" customHeight="1" hidden="1">
      <c r="A194" s="431" t="s">
        <v>147</v>
      </c>
      <c r="B194" s="432" t="s">
        <v>146</v>
      </c>
      <c r="C194" s="404">
        <f t="shared" si="40"/>
        <v>0</v>
      </c>
      <c r="D194" s="404">
        <f t="shared" si="41"/>
        <v>0</v>
      </c>
      <c r="E194" s="409">
        <v>0</v>
      </c>
      <c r="F194" s="409">
        <v>0</v>
      </c>
      <c r="G194" s="409">
        <v>0</v>
      </c>
      <c r="H194" s="409">
        <v>0</v>
      </c>
      <c r="I194" s="409">
        <v>0</v>
      </c>
      <c r="J194" s="409">
        <v>0</v>
      </c>
      <c r="K194" s="409">
        <v>0</v>
      </c>
      <c r="L194" s="409">
        <v>0</v>
      </c>
      <c r="M194" s="409" t="e">
        <f>'03'!#REF!+'04'!#REF!</f>
        <v>#REF!</v>
      </c>
      <c r="N194" s="409" t="e">
        <f t="shared" si="36"/>
        <v>#REF!</v>
      </c>
      <c r="O194" s="409" t="e">
        <f>'07'!#REF!</f>
        <v>#REF!</v>
      </c>
      <c r="P194" s="409" t="e">
        <f t="shared" si="37"/>
        <v>#REF!</v>
      </c>
    </row>
    <row r="195" spans="1:16" ht="24.75" customHeight="1" hidden="1">
      <c r="A195" s="431" t="s">
        <v>149</v>
      </c>
      <c r="B195" s="434" t="s">
        <v>148</v>
      </c>
      <c r="C195" s="404">
        <f t="shared" si="40"/>
        <v>0</v>
      </c>
      <c r="D195" s="404">
        <f t="shared" si="41"/>
        <v>0</v>
      </c>
      <c r="E195" s="409">
        <v>0</v>
      </c>
      <c r="F195" s="409">
        <v>0</v>
      </c>
      <c r="G195" s="409">
        <v>0</v>
      </c>
      <c r="H195" s="409">
        <v>0</v>
      </c>
      <c r="I195" s="409">
        <v>0</v>
      </c>
      <c r="J195" s="409">
        <v>0</v>
      </c>
      <c r="K195" s="409">
        <v>0</v>
      </c>
      <c r="L195" s="409">
        <v>0</v>
      </c>
      <c r="M195" s="409" t="e">
        <f>'03'!#REF!+'04'!#REF!</f>
        <v>#REF!</v>
      </c>
      <c r="N195" s="409" t="e">
        <f t="shared" si="36"/>
        <v>#REF!</v>
      </c>
      <c r="O195" s="409" t="e">
        <f>'07'!#REF!</f>
        <v>#REF!</v>
      </c>
      <c r="P195" s="409" t="e">
        <f t="shared" si="37"/>
        <v>#REF!</v>
      </c>
    </row>
    <row r="196" spans="1:16" ht="24.75" customHeight="1" hidden="1">
      <c r="A196" s="431" t="s">
        <v>186</v>
      </c>
      <c r="B196" s="432" t="s">
        <v>150</v>
      </c>
      <c r="C196" s="404">
        <f t="shared" si="40"/>
        <v>114336</v>
      </c>
      <c r="D196" s="404">
        <f t="shared" si="41"/>
        <v>0</v>
      </c>
      <c r="E196" s="409">
        <v>0</v>
      </c>
      <c r="F196" s="409">
        <v>0</v>
      </c>
      <c r="G196" s="409">
        <v>0</v>
      </c>
      <c r="H196" s="409">
        <v>0</v>
      </c>
      <c r="I196" s="409">
        <v>0</v>
      </c>
      <c r="J196" s="409">
        <v>0</v>
      </c>
      <c r="K196" s="409">
        <v>0</v>
      </c>
      <c r="L196" s="409">
        <v>114336</v>
      </c>
      <c r="M196" s="409" t="e">
        <f>'03'!#REF!+'04'!#REF!</f>
        <v>#REF!</v>
      </c>
      <c r="N196" s="409" t="e">
        <f t="shared" si="36"/>
        <v>#REF!</v>
      </c>
      <c r="O196" s="409" t="e">
        <f>'07'!#REF!</f>
        <v>#REF!</v>
      </c>
      <c r="P196" s="409" t="e">
        <f t="shared" si="37"/>
        <v>#REF!</v>
      </c>
    </row>
    <row r="197" spans="1:16" ht="24.75" customHeight="1" hidden="1">
      <c r="A197" s="394" t="s">
        <v>53</v>
      </c>
      <c r="B197" s="395" t="s">
        <v>151</v>
      </c>
      <c r="C197" s="404">
        <f t="shared" si="40"/>
        <v>2089366</v>
      </c>
      <c r="D197" s="404">
        <f t="shared" si="41"/>
        <v>1722531</v>
      </c>
      <c r="E197" s="409">
        <v>691490</v>
      </c>
      <c r="F197" s="409">
        <v>0</v>
      </c>
      <c r="G197" s="409">
        <v>130438</v>
      </c>
      <c r="H197" s="409">
        <v>649319</v>
      </c>
      <c r="I197" s="409">
        <v>251284</v>
      </c>
      <c r="J197" s="409">
        <v>0</v>
      </c>
      <c r="K197" s="409">
        <v>0</v>
      </c>
      <c r="L197" s="409">
        <v>366835</v>
      </c>
      <c r="M197" s="404" t="e">
        <f>'03'!#REF!+'04'!#REF!</f>
        <v>#REF!</v>
      </c>
      <c r="N197" s="404" t="e">
        <f t="shared" si="36"/>
        <v>#REF!</v>
      </c>
      <c r="O197" s="404" t="e">
        <f>'07'!#REF!</f>
        <v>#REF!</v>
      </c>
      <c r="P197" s="404" t="e">
        <f t="shared" si="37"/>
        <v>#REF!</v>
      </c>
    </row>
    <row r="198" spans="1:16" ht="24.75" customHeight="1" hidden="1">
      <c r="A198" s="463" t="s">
        <v>76</v>
      </c>
      <c r="B198" s="492" t="s">
        <v>215</v>
      </c>
      <c r="C198" s="476">
        <f>(C189+C190+C191)/C188</f>
        <v>0.17172537630756696</v>
      </c>
      <c r="D198" s="396">
        <f aca="true" t="shared" si="42" ref="D198:L198">(D189+D190+D191)/D188</f>
        <v>0.40628691429321434</v>
      </c>
      <c r="E198" s="414">
        <f t="shared" si="42"/>
        <v>0.2666854563545443</v>
      </c>
      <c r="F198" s="414" t="e">
        <f t="shared" si="42"/>
        <v>#DIV/0!</v>
      </c>
      <c r="G198" s="414">
        <f t="shared" si="42"/>
        <v>1</v>
      </c>
      <c r="H198" s="414">
        <f t="shared" si="42"/>
        <v>1</v>
      </c>
      <c r="I198" s="414">
        <f t="shared" si="42"/>
        <v>0.2</v>
      </c>
      <c r="J198" s="414">
        <f t="shared" si="42"/>
        <v>0.8008626639061421</v>
      </c>
      <c r="K198" s="414">
        <f t="shared" si="42"/>
        <v>0.012180036293055014</v>
      </c>
      <c r="L198" s="414">
        <f t="shared" si="42"/>
        <v>0.19441839651381007</v>
      </c>
      <c r="M198" s="425"/>
      <c r="N198" s="493"/>
      <c r="O198" s="493"/>
      <c r="P198" s="493"/>
    </row>
    <row r="199" spans="1:16" ht="17.25" hidden="1">
      <c r="A199" s="1515" t="s">
        <v>500</v>
      </c>
      <c r="B199" s="1515"/>
      <c r="C199" s="409">
        <f>C182-C185-C186-C187</f>
        <v>0</v>
      </c>
      <c r="D199" s="409">
        <f aca="true" t="shared" si="43" ref="D199:L199">D182-D185-D186-D187</f>
        <v>0</v>
      </c>
      <c r="E199" s="409">
        <f t="shared" si="43"/>
        <v>0</v>
      </c>
      <c r="F199" s="409">
        <f t="shared" si="43"/>
        <v>0</v>
      </c>
      <c r="G199" s="409">
        <f t="shared" si="43"/>
        <v>0</v>
      </c>
      <c r="H199" s="409">
        <f t="shared" si="43"/>
        <v>0</v>
      </c>
      <c r="I199" s="409">
        <f t="shared" si="43"/>
        <v>0</v>
      </c>
      <c r="J199" s="409">
        <f t="shared" si="43"/>
        <v>0</v>
      </c>
      <c r="K199" s="409">
        <f t="shared" si="43"/>
        <v>0</v>
      </c>
      <c r="L199" s="409">
        <f t="shared" si="43"/>
        <v>0</v>
      </c>
      <c r="M199" s="425"/>
      <c r="N199" s="493"/>
      <c r="O199" s="493"/>
      <c r="P199" s="493"/>
    </row>
    <row r="200" spans="1:16" ht="17.25" hidden="1">
      <c r="A200" s="1516" t="s">
        <v>501</v>
      </c>
      <c r="B200" s="1516"/>
      <c r="C200" s="409">
        <f>C187-C188-C197</f>
        <v>0</v>
      </c>
      <c r="D200" s="409">
        <f aca="true" t="shared" si="44" ref="D200:L200">D187-D188-D197</f>
        <v>0</v>
      </c>
      <c r="E200" s="409">
        <f t="shared" si="44"/>
        <v>0</v>
      </c>
      <c r="F200" s="409">
        <f t="shared" si="44"/>
        <v>0</v>
      </c>
      <c r="G200" s="409">
        <f t="shared" si="44"/>
        <v>0</v>
      </c>
      <c r="H200" s="409">
        <f t="shared" si="44"/>
        <v>0</v>
      </c>
      <c r="I200" s="409">
        <f t="shared" si="44"/>
        <v>0</v>
      </c>
      <c r="J200" s="409">
        <f t="shared" si="44"/>
        <v>0</v>
      </c>
      <c r="K200" s="409">
        <f t="shared" si="44"/>
        <v>0</v>
      </c>
      <c r="L200" s="409">
        <f t="shared" si="44"/>
        <v>0</v>
      </c>
      <c r="M200" s="425"/>
      <c r="N200" s="493"/>
      <c r="O200" s="493"/>
      <c r="P200" s="493"/>
    </row>
    <row r="201" spans="1:16" ht="18.75" hidden="1">
      <c r="A201" s="478"/>
      <c r="B201" s="494" t="s">
        <v>520</v>
      </c>
      <c r="C201" s="494"/>
      <c r="D201" s="466"/>
      <c r="E201" s="466"/>
      <c r="F201" s="466"/>
      <c r="G201" s="1518" t="s">
        <v>520</v>
      </c>
      <c r="H201" s="1518"/>
      <c r="I201" s="1518"/>
      <c r="J201" s="1518"/>
      <c r="K201" s="1518"/>
      <c r="L201" s="1518"/>
      <c r="M201" s="481"/>
      <c r="N201" s="481"/>
      <c r="O201" s="481"/>
      <c r="P201" s="481"/>
    </row>
    <row r="202" spans="1:16" ht="18.75" hidden="1">
      <c r="A202" s="1551" t="s">
        <v>4</v>
      </c>
      <c r="B202" s="1551"/>
      <c r="C202" s="1551"/>
      <c r="D202" s="1551"/>
      <c r="E202" s="466"/>
      <c r="F202" s="466"/>
      <c r="G202" s="495"/>
      <c r="H202" s="1552" t="s">
        <v>521</v>
      </c>
      <c r="I202" s="1552"/>
      <c r="J202" s="1552"/>
      <c r="K202" s="1552"/>
      <c r="L202" s="1552"/>
      <c r="M202" s="481"/>
      <c r="N202" s="481"/>
      <c r="O202" s="481"/>
      <c r="P202" s="481"/>
    </row>
    <row r="203" ht="15" hidden="1"/>
    <row r="204" ht="15" hidden="1"/>
    <row r="205" ht="15" hidden="1"/>
    <row r="206" ht="15" hidden="1"/>
    <row r="207" ht="15" hidden="1"/>
    <row r="208" ht="15" hidden="1"/>
    <row r="209" ht="15" hidden="1"/>
    <row r="210" ht="15" hidden="1"/>
    <row r="211" ht="15" hidden="1"/>
    <row r="212" spans="1:13" ht="16.5" hidden="1">
      <c r="A212" s="1540" t="s">
        <v>33</v>
      </c>
      <c r="B212" s="1541"/>
      <c r="C212" s="477"/>
      <c r="D212" s="1532" t="s">
        <v>79</v>
      </c>
      <c r="E212" s="1532"/>
      <c r="F212" s="1532"/>
      <c r="G212" s="1532"/>
      <c r="H212" s="1532"/>
      <c r="I212" s="1532"/>
      <c r="J212" s="1532"/>
      <c r="K212" s="1542"/>
      <c r="L212" s="1542"/>
      <c r="M212" s="481"/>
    </row>
    <row r="213" spans="1:13" ht="16.5" hidden="1">
      <c r="A213" s="1495" t="s">
        <v>344</v>
      </c>
      <c r="B213" s="1495"/>
      <c r="C213" s="1495"/>
      <c r="D213" s="1532" t="s">
        <v>216</v>
      </c>
      <c r="E213" s="1532"/>
      <c r="F213" s="1532"/>
      <c r="G213" s="1532"/>
      <c r="H213" s="1532"/>
      <c r="I213" s="1532"/>
      <c r="J213" s="1532"/>
      <c r="K213" s="1539" t="s">
        <v>511</v>
      </c>
      <c r="L213" s="1539"/>
      <c r="M213" s="478"/>
    </row>
    <row r="214" spans="1:13" ht="16.5" hidden="1">
      <c r="A214" s="1495" t="s">
        <v>345</v>
      </c>
      <c r="B214" s="1495"/>
      <c r="C214" s="415"/>
      <c r="D214" s="1543" t="s">
        <v>11</v>
      </c>
      <c r="E214" s="1543"/>
      <c r="F214" s="1543"/>
      <c r="G214" s="1543"/>
      <c r="H214" s="1543"/>
      <c r="I214" s="1543"/>
      <c r="J214" s="1543"/>
      <c r="K214" s="1542"/>
      <c r="L214" s="1542"/>
      <c r="M214" s="481"/>
    </row>
    <row r="215" spans="1:13" ht="15.75" hidden="1">
      <c r="A215" s="436" t="s">
        <v>119</v>
      </c>
      <c r="B215" s="436"/>
      <c r="C215" s="421"/>
      <c r="D215" s="482"/>
      <c r="E215" s="482"/>
      <c r="F215" s="483"/>
      <c r="G215" s="483"/>
      <c r="H215" s="483"/>
      <c r="I215" s="483"/>
      <c r="J215" s="483"/>
      <c r="K215" s="1544"/>
      <c r="L215" s="1544"/>
      <c r="M215" s="478"/>
    </row>
    <row r="216" spans="1:13" ht="15.75" hidden="1">
      <c r="A216" s="482"/>
      <c r="B216" s="482" t="s">
        <v>94</v>
      </c>
      <c r="C216" s="482"/>
      <c r="D216" s="482"/>
      <c r="E216" s="482"/>
      <c r="F216" s="482"/>
      <c r="G216" s="482"/>
      <c r="H216" s="482"/>
      <c r="I216" s="482"/>
      <c r="J216" s="482"/>
      <c r="K216" s="1534"/>
      <c r="L216" s="1534"/>
      <c r="M216" s="478"/>
    </row>
    <row r="217" spans="1:13" ht="15.75" hidden="1">
      <c r="A217" s="1143" t="s">
        <v>71</v>
      </c>
      <c r="B217" s="1144"/>
      <c r="C217" s="1509" t="s">
        <v>38</v>
      </c>
      <c r="D217" s="1519" t="s">
        <v>339</v>
      </c>
      <c r="E217" s="1519"/>
      <c r="F217" s="1519"/>
      <c r="G217" s="1519"/>
      <c r="H217" s="1519"/>
      <c r="I217" s="1519"/>
      <c r="J217" s="1519"/>
      <c r="K217" s="1519"/>
      <c r="L217" s="1519"/>
      <c r="M217" s="481"/>
    </row>
    <row r="218" spans="1:13" ht="15.75" hidden="1">
      <c r="A218" s="1145"/>
      <c r="B218" s="1146"/>
      <c r="C218" s="1509"/>
      <c r="D218" s="1545" t="s">
        <v>207</v>
      </c>
      <c r="E218" s="1546"/>
      <c r="F218" s="1546"/>
      <c r="G218" s="1546"/>
      <c r="H218" s="1546"/>
      <c r="I218" s="1546"/>
      <c r="J218" s="1547"/>
      <c r="K218" s="1548" t="s">
        <v>208</v>
      </c>
      <c r="L218" s="1548" t="s">
        <v>209</v>
      </c>
      <c r="M218" s="478"/>
    </row>
    <row r="219" spans="1:13" ht="15.75" hidden="1">
      <c r="A219" s="1145"/>
      <c r="B219" s="1146"/>
      <c r="C219" s="1509"/>
      <c r="D219" s="1555" t="s">
        <v>37</v>
      </c>
      <c r="E219" s="1556" t="s">
        <v>7</v>
      </c>
      <c r="F219" s="1557"/>
      <c r="G219" s="1557"/>
      <c r="H219" s="1557"/>
      <c r="I219" s="1557"/>
      <c r="J219" s="1558"/>
      <c r="K219" s="1549"/>
      <c r="L219" s="1553"/>
      <c r="M219" s="478"/>
    </row>
    <row r="220" spans="1:16" ht="15.75" hidden="1">
      <c r="A220" s="1513"/>
      <c r="B220" s="1514"/>
      <c r="C220" s="1509"/>
      <c r="D220" s="1555"/>
      <c r="E220" s="484" t="s">
        <v>210</v>
      </c>
      <c r="F220" s="484" t="s">
        <v>211</v>
      </c>
      <c r="G220" s="484" t="s">
        <v>212</v>
      </c>
      <c r="H220" s="484" t="s">
        <v>213</v>
      </c>
      <c r="I220" s="484" t="s">
        <v>346</v>
      </c>
      <c r="J220" s="484" t="s">
        <v>214</v>
      </c>
      <c r="K220" s="1550"/>
      <c r="L220" s="1554"/>
      <c r="M220" s="1507" t="s">
        <v>502</v>
      </c>
      <c r="N220" s="1507"/>
      <c r="O220" s="1507"/>
      <c r="P220" s="1507"/>
    </row>
    <row r="221" spans="1:16" ht="15" hidden="1">
      <c r="A221" s="1511" t="s">
        <v>6</v>
      </c>
      <c r="B221" s="1512"/>
      <c r="C221" s="485">
        <v>1</v>
      </c>
      <c r="D221" s="486">
        <v>2</v>
      </c>
      <c r="E221" s="485">
        <v>3</v>
      </c>
      <c r="F221" s="486">
        <v>4</v>
      </c>
      <c r="G221" s="485">
        <v>5</v>
      </c>
      <c r="H221" s="486">
        <v>6</v>
      </c>
      <c r="I221" s="485">
        <v>7</v>
      </c>
      <c r="J221" s="486">
        <v>8</v>
      </c>
      <c r="K221" s="485">
        <v>9</v>
      </c>
      <c r="L221" s="486">
        <v>10</v>
      </c>
      <c r="M221" s="487" t="s">
        <v>503</v>
      </c>
      <c r="N221" s="488" t="s">
        <v>506</v>
      </c>
      <c r="O221" s="488" t="s">
        <v>504</v>
      </c>
      <c r="P221" s="488" t="s">
        <v>505</v>
      </c>
    </row>
    <row r="222" spans="1:16" ht="24.75" customHeight="1" hidden="1">
      <c r="A222" s="428" t="s">
        <v>0</v>
      </c>
      <c r="B222" s="429" t="s">
        <v>131</v>
      </c>
      <c r="C222" s="404">
        <f>C223+C224</f>
        <v>151317.2</v>
      </c>
      <c r="D222" s="404">
        <f aca="true" t="shared" si="45" ref="D222:L222">D223+D224</f>
        <v>70217.2</v>
      </c>
      <c r="E222" s="404">
        <f t="shared" si="45"/>
        <v>30144.2</v>
      </c>
      <c r="F222" s="404">
        <f t="shared" si="45"/>
        <v>0</v>
      </c>
      <c r="G222" s="404">
        <f t="shared" si="45"/>
        <v>26600</v>
      </c>
      <c r="H222" s="404">
        <f t="shared" si="45"/>
        <v>10300</v>
      </c>
      <c r="I222" s="404">
        <f t="shared" si="45"/>
        <v>0</v>
      </c>
      <c r="J222" s="404">
        <f t="shared" si="45"/>
        <v>3173</v>
      </c>
      <c r="K222" s="404">
        <f t="shared" si="45"/>
        <v>0</v>
      </c>
      <c r="L222" s="404">
        <f t="shared" si="45"/>
        <v>81100</v>
      </c>
      <c r="M222" s="404" t="e">
        <f>'03'!#REF!+'04'!#REF!</f>
        <v>#REF!</v>
      </c>
      <c r="N222" s="404" t="e">
        <f>C222-M222</f>
        <v>#REF!</v>
      </c>
      <c r="O222" s="404" t="e">
        <f>'07'!#REF!</f>
        <v>#REF!</v>
      </c>
      <c r="P222" s="404" t="e">
        <f>C222-O222</f>
        <v>#REF!</v>
      </c>
    </row>
    <row r="223" spans="1:16" ht="24.75" customHeight="1" hidden="1">
      <c r="A223" s="431">
        <v>1</v>
      </c>
      <c r="B223" s="432" t="s">
        <v>132</v>
      </c>
      <c r="C223" s="404">
        <f>D223+K223+L223</f>
        <v>41540</v>
      </c>
      <c r="D223" s="404">
        <f>E223+F223+G223+H223+I223+J223</f>
        <v>41540</v>
      </c>
      <c r="E223" s="409">
        <v>4640</v>
      </c>
      <c r="F223" s="409"/>
      <c r="G223" s="409">
        <v>26600</v>
      </c>
      <c r="H223" s="409">
        <v>10300</v>
      </c>
      <c r="I223" s="409"/>
      <c r="J223" s="409"/>
      <c r="K223" s="409"/>
      <c r="L223" s="409"/>
      <c r="M223" s="409" t="e">
        <f>'03'!#REF!+'04'!#REF!</f>
        <v>#REF!</v>
      </c>
      <c r="N223" s="409" t="e">
        <f aca="true" t="shared" si="46" ref="N223:N237">C223-M223</f>
        <v>#REF!</v>
      </c>
      <c r="O223" s="404" t="e">
        <f>'07'!#REF!</f>
        <v>#REF!</v>
      </c>
      <c r="P223" s="409" t="e">
        <f aca="true" t="shared" si="47" ref="P223:P237">C223-O223</f>
        <v>#REF!</v>
      </c>
    </row>
    <row r="224" spans="1:16" ht="24.75" customHeight="1" hidden="1">
      <c r="A224" s="431">
        <v>2</v>
      </c>
      <c r="B224" s="432" t="s">
        <v>133</v>
      </c>
      <c r="C224" s="404">
        <f>D224+K224+L224</f>
        <v>109777.2</v>
      </c>
      <c r="D224" s="404">
        <f>E224+F224+G224+H224+I224+J224</f>
        <v>28677.2</v>
      </c>
      <c r="E224" s="409">
        <v>25504.2</v>
      </c>
      <c r="F224" s="409">
        <v>0</v>
      </c>
      <c r="G224" s="409">
        <v>0</v>
      </c>
      <c r="H224" s="409">
        <v>0</v>
      </c>
      <c r="I224" s="409">
        <v>0</v>
      </c>
      <c r="J224" s="409">
        <v>3173</v>
      </c>
      <c r="K224" s="409">
        <v>0</v>
      </c>
      <c r="L224" s="409">
        <v>81100</v>
      </c>
      <c r="M224" s="409" t="e">
        <f>'03'!#REF!+'04'!#REF!</f>
        <v>#REF!</v>
      </c>
      <c r="N224" s="409" t="e">
        <f t="shared" si="46"/>
        <v>#REF!</v>
      </c>
      <c r="O224" s="404" t="e">
        <f>'07'!#REF!</f>
        <v>#REF!</v>
      </c>
      <c r="P224" s="409" t="e">
        <f t="shared" si="47"/>
        <v>#REF!</v>
      </c>
    </row>
    <row r="225" spans="1:16" ht="24.75" customHeight="1" hidden="1">
      <c r="A225" s="394" t="s">
        <v>1</v>
      </c>
      <c r="B225" s="395" t="s">
        <v>134</v>
      </c>
      <c r="C225" s="404">
        <f>D225+K225+L225</f>
        <v>0</v>
      </c>
      <c r="D225" s="404">
        <f>E225+F225+G225+H225+I225+J225</f>
        <v>0</v>
      </c>
      <c r="E225" s="409">
        <v>0</v>
      </c>
      <c r="F225" s="409">
        <v>0</v>
      </c>
      <c r="G225" s="409">
        <v>0</v>
      </c>
      <c r="H225" s="409">
        <v>0</v>
      </c>
      <c r="I225" s="409">
        <v>0</v>
      </c>
      <c r="J225" s="409">
        <v>0</v>
      </c>
      <c r="K225" s="409">
        <v>0</v>
      </c>
      <c r="L225" s="409">
        <v>0</v>
      </c>
      <c r="M225" s="409" t="e">
        <f>'03'!#REF!+'04'!#REF!</f>
        <v>#REF!</v>
      </c>
      <c r="N225" s="409" t="e">
        <f t="shared" si="46"/>
        <v>#REF!</v>
      </c>
      <c r="O225" s="409" t="e">
        <f>'07'!#REF!</f>
        <v>#REF!</v>
      </c>
      <c r="P225" s="409" t="e">
        <f t="shared" si="47"/>
        <v>#REF!</v>
      </c>
    </row>
    <row r="226" spans="1:16" ht="24.75" customHeight="1" hidden="1">
      <c r="A226" s="394" t="s">
        <v>9</v>
      </c>
      <c r="B226" s="395" t="s">
        <v>135</v>
      </c>
      <c r="C226" s="404">
        <f>D226+K226+L226</f>
        <v>0</v>
      </c>
      <c r="D226" s="404">
        <f>E226+F226+G226+H226+I226+J226</f>
        <v>0</v>
      </c>
      <c r="E226" s="409">
        <v>0</v>
      </c>
      <c r="F226" s="409">
        <v>0</v>
      </c>
      <c r="G226" s="409">
        <v>0</v>
      </c>
      <c r="H226" s="409">
        <v>0</v>
      </c>
      <c r="I226" s="409">
        <v>0</v>
      </c>
      <c r="J226" s="409">
        <v>0</v>
      </c>
      <c r="K226" s="409">
        <v>0</v>
      </c>
      <c r="L226" s="409">
        <v>0</v>
      </c>
      <c r="M226" s="409" t="e">
        <f>'03'!#REF!+'04'!#REF!</f>
        <v>#REF!</v>
      </c>
      <c r="N226" s="409" t="e">
        <f t="shared" si="46"/>
        <v>#REF!</v>
      </c>
      <c r="O226" s="409" t="e">
        <f>'07'!#REF!</f>
        <v>#REF!</v>
      </c>
      <c r="P226" s="409" t="e">
        <f t="shared" si="47"/>
        <v>#REF!</v>
      </c>
    </row>
    <row r="227" spans="1:16" ht="24.75" customHeight="1" hidden="1">
      <c r="A227" s="394" t="s">
        <v>136</v>
      </c>
      <c r="B227" s="395" t="s">
        <v>137</v>
      </c>
      <c r="C227" s="404">
        <f>C228+C237</f>
        <v>151317.2</v>
      </c>
      <c r="D227" s="404">
        <f aca="true" t="shared" si="48" ref="D227:L227">D228+D237</f>
        <v>70217.2</v>
      </c>
      <c r="E227" s="404">
        <f t="shared" si="48"/>
        <v>30144.2</v>
      </c>
      <c r="F227" s="404">
        <f t="shared" si="48"/>
        <v>0</v>
      </c>
      <c r="G227" s="404">
        <f t="shared" si="48"/>
        <v>26600</v>
      </c>
      <c r="H227" s="404">
        <f t="shared" si="48"/>
        <v>10300</v>
      </c>
      <c r="I227" s="404">
        <f t="shared" si="48"/>
        <v>0</v>
      </c>
      <c r="J227" s="404">
        <f t="shared" si="48"/>
        <v>3173</v>
      </c>
      <c r="K227" s="404">
        <f t="shared" si="48"/>
        <v>0</v>
      </c>
      <c r="L227" s="404">
        <f t="shared" si="48"/>
        <v>81100</v>
      </c>
      <c r="M227" s="404" t="e">
        <f>'03'!#REF!+'04'!#REF!</f>
        <v>#REF!</v>
      </c>
      <c r="N227" s="404" t="e">
        <f t="shared" si="46"/>
        <v>#REF!</v>
      </c>
      <c r="O227" s="404" t="e">
        <f>'07'!#REF!</f>
        <v>#REF!</v>
      </c>
      <c r="P227" s="404" t="e">
        <f t="shared" si="47"/>
        <v>#REF!</v>
      </c>
    </row>
    <row r="228" spans="1:16" ht="24.75" customHeight="1" hidden="1">
      <c r="A228" s="394" t="s">
        <v>52</v>
      </c>
      <c r="B228" s="433" t="s">
        <v>138</v>
      </c>
      <c r="C228" s="404">
        <f>SUM(C229:C236)</f>
        <v>109777.2</v>
      </c>
      <c r="D228" s="404">
        <f aca="true" t="shared" si="49" ref="D228:L228">SUM(D229:D236)</f>
        <v>28677.2</v>
      </c>
      <c r="E228" s="404">
        <f t="shared" si="49"/>
        <v>25504.2</v>
      </c>
      <c r="F228" s="404">
        <f t="shared" si="49"/>
        <v>0</v>
      </c>
      <c r="G228" s="404">
        <f t="shared" si="49"/>
        <v>0</v>
      </c>
      <c r="H228" s="404">
        <f t="shared" si="49"/>
        <v>0</v>
      </c>
      <c r="I228" s="404">
        <f t="shared" si="49"/>
        <v>0</v>
      </c>
      <c r="J228" s="404">
        <f t="shared" si="49"/>
        <v>3173</v>
      </c>
      <c r="K228" s="404">
        <f t="shared" si="49"/>
        <v>0</v>
      </c>
      <c r="L228" s="404">
        <f t="shared" si="49"/>
        <v>81100</v>
      </c>
      <c r="M228" s="404" t="e">
        <f>'03'!#REF!+'04'!#REF!</f>
        <v>#REF!</v>
      </c>
      <c r="N228" s="404" t="e">
        <f t="shared" si="46"/>
        <v>#REF!</v>
      </c>
      <c r="O228" s="404" t="e">
        <f>'07'!#REF!</f>
        <v>#REF!</v>
      </c>
      <c r="P228" s="404" t="e">
        <f t="shared" si="47"/>
        <v>#REF!</v>
      </c>
    </row>
    <row r="229" spans="1:16" ht="24.75" customHeight="1" hidden="1">
      <c r="A229" s="431" t="s">
        <v>54</v>
      </c>
      <c r="B229" s="432" t="s">
        <v>139</v>
      </c>
      <c r="C229" s="404">
        <f aca="true" t="shared" si="50" ref="C229:C237">D229+K229+L229</f>
        <v>60767</v>
      </c>
      <c r="D229" s="404">
        <f aca="true" t="shared" si="51" ref="D229:D237">E229+F229+G229+H229+I229+J229</f>
        <v>16267</v>
      </c>
      <c r="E229" s="409">
        <v>13195</v>
      </c>
      <c r="F229" s="409">
        <v>0</v>
      </c>
      <c r="G229" s="409">
        <v>0</v>
      </c>
      <c r="H229" s="409">
        <v>0</v>
      </c>
      <c r="I229" s="409">
        <v>0</v>
      </c>
      <c r="J229" s="409">
        <v>3072</v>
      </c>
      <c r="K229" s="409">
        <v>0</v>
      </c>
      <c r="L229" s="409">
        <v>44500</v>
      </c>
      <c r="M229" s="409" t="e">
        <f>'03'!#REF!+'04'!#REF!</f>
        <v>#REF!</v>
      </c>
      <c r="N229" s="409" t="e">
        <f t="shared" si="46"/>
        <v>#REF!</v>
      </c>
      <c r="O229" s="409" t="e">
        <f>'07'!#REF!</f>
        <v>#REF!</v>
      </c>
      <c r="P229" s="409" t="e">
        <f t="shared" si="47"/>
        <v>#REF!</v>
      </c>
    </row>
    <row r="230" spans="1:16" ht="24.75" customHeight="1" hidden="1">
      <c r="A230" s="431" t="s">
        <v>55</v>
      </c>
      <c r="B230" s="432" t="s">
        <v>140</v>
      </c>
      <c r="C230" s="404">
        <f t="shared" si="50"/>
        <v>0</v>
      </c>
      <c r="D230" s="404">
        <f t="shared" si="51"/>
        <v>0</v>
      </c>
      <c r="E230" s="409">
        <v>0</v>
      </c>
      <c r="F230" s="409">
        <v>0</v>
      </c>
      <c r="G230" s="409">
        <v>0</v>
      </c>
      <c r="H230" s="409">
        <v>0</v>
      </c>
      <c r="I230" s="409">
        <v>0</v>
      </c>
      <c r="J230" s="409">
        <v>0</v>
      </c>
      <c r="K230" s="409">
        <v>0</v>
      </c>
      <c r="L230" s="409">
        <v>0</v>
      </c>
      <c r="M230" s="409" t="e">
        <f>'03'!#REF!+'04'!#REF!</f>
        <v>#REF!</v>
      </c>
      <c r="N230" s="409" t="e">
        <f t="shared" si="46"/>
        <v>#REF!</v>
      </c>
      <c r="O230" s="409" t="e">
        <f>'07'!#REF!</f>
        <v>#REF!</v>
      </c>
      <c r="P230" s="409" t="e">
        <f t="shared" si="47"/>
        <v>#REF!</v>
      </c>
    </row>
    <row r="231" spans="1:16" ht="24.75" customHeight="1" hidden="1">
      <c r="A231" s="431" t="s">
        <v>141</v>
      </c>
      <c r="B231" s="432" t="s">
        <v>202</v>
      </c>
      <c r="C231" s="404">
        <f t="shared" si="50"/>
        <v>0</v>
      </c>
      <c r="D231" s="404">
        <f t="shared" si="51"/>
        <v>0</v>
      </c>
      <c r="E231" s="409">
        <v>0</v>
      </c>
      <c r="F231" s="409">
        <v>0</v>
      </c>
      <c r="G231" s="409">
        <v>0</v>
      </c>
      <c r="H231" s="409">
        <v>0</v>
      </c>
      <c r="I231" s="409">
        <v>0</v>
      </c>
      <c r="J231" s="409">
        <v>0</v>
      </c>
      <c r="K231" s="409">
        <v>0</v>
      </c>
      <c r="L231" s="409">
        <v>0</v>
      </c>
      <c r="M231" s="409" t="e">
        <f>'03'!#REF!</f>
        <v>#REF!</v>
      </c>
      <c r="N231" s="409" t="e">
        <f t="shared" si="46"/>
        <v>#REF!</v>
      </c>
      <c r="O231" s="409" t="e">
        <f>'07'!#REF!</f>
        <v>#REF!</v>
      </c>
      <c r="P231" s="409" t="e">
        <f t="shared" si="47"/>
        <v>#REF!</v>
      </c>
    </row>
    <row r="232" spans="1:16" ht="24.75" customHeight="1" hidden="1">
      <c r="A232" s="431" t="s">
        <v>143</v>
      </c>
      <c r="B232" s="432" t="s">
        <v>142</v>
      </c>
      <c r="C232" s="404">
        <f t="shared" si="50"/>
        <v>49010.2</v>
      </c>
      <c r="D232" s="404">
        <f t="shared" si="51"/>
        <v>12410.2</v>
      </c>
      <c r="E232" s="409">
        <v>12309.2</v>
      </c>
      <c r="F232" s="409">
        <v>0</v>
      </c>
      <c r="G232" s="409">
        <v>0</v>
      </c>
      <c r="H232" s="409">
        <v>0</v>
      </c>
      <c r="I232" s="409">
        <v>0</v>
      </c>
      <c r="J232" s="409">
        <v>101</v>
      </c>
      <c r="K232" s="409">
        <v>0</v>
      </c>
      <c r="L232" s="409">
        <v>36600</v>
      </c>
      <c r="M232" s="409" t="e">
        <f>'03'!#REF!+'04'!#REF!</f>
        <v>#REF!</v>
      </c>
      <c r="N232" s="409" t="e">
        <f t="shared" si="46"/>
        <v>#REF!</v>
      </c>
      <c r="O232" s="409" t="e">
        <f>'07'!#REF!</f>
        <v>#REF!</v>
      </c>
      <c r="P232" s="409" t="e">
        <f t="shared" si="47"/>
        <v>#REF!</v>
      </c>
    </row>
    <row r="233" spans="1:16" ht="24.75" customHeight="1" hidden="1">
      <c r="A233" s="431" t="s">
        <v>145</v>
      </c>
      <c r="B233" s="432" t="s">
        <v>144</v>
      </c>
      <c r="C233" s="404">
        <f t="shared" si="50"/>
        <v>0</v>
      </c>
      <c r="D233" s="404">
        <f t="shared" si="51"/>
        <v>0</v>
      </c>
      <c r="E233" s="409">
        <v>0</v>
      </c>
      <c r="F233" s="409">
        <v>0</v>
      </c>
      <c r="G233" s="409">
        <v>0</v>
      </c>
      <c r="H233" s="409">
        <v>0</v>
      </c>
      <c r="I233" s="409">
        <v>0</v>
      </c>
      <c r="J233" s="409">
        <v>0</v>
      </c>
      <c r="K233" s="409">
        <v>0</v>
      </c>
      <c r="L233" s="409">
        <v>0</v>
      </c>
      <c r="M233" s="409" t="e">
        <f>'03'!#REF!+'04'!#REF!</f>
        <v>#REF!</v>
      </c>
      <c r="N233" s="409" t="e">
        <f t="shared" si="46"/>
        <v>#REF!</v>
      </c>
      <c r="O233" s="409" t="e">
        <f>'07'!#REF!</f>
        <v>#REF!</v>
      </c>
      <c r="P233" s="409" t="e">
        <f t="shared" si="47"/>
        <v>#REF!</v>
      </c>
    </row>
    <row r="234" spans="1:16" ht="24.75" customHeight="1" hidden="1">
      <c r="A234" s="431" t="s">
        <v>147</v>
      </c>
      <c r="B234" s="432" t="s">
        <v>146</v>
      </c>
      <c r="C234" s="404">
        <f t="shared" si="50"/>
        <v>0</v>
      </c>
      <c r="D234" s="404">
        <f t="shared" si="51"/>
        <v>0</v>
      </c>
      <c r="E234" s="409">
        <v>0</v>
      </c>
      <c r="F234" s="409">
        <v>0</v>
      </c>
      <c r="G234" s="409">
        <v>0</v>
      </c>
      <c r="H234" s="409">
        <v>0</v>
      </c>
      <c r="I234" s="409">
        <v>0</v>
      </c>
      <c r="J234" s="409">
        <v>0</v>
      </c>
      <c r="K234" s="409">
        <v>0</v>
      </c>
      <c r="L234" s="409">
        <v>0</v>
      </c>
      <c r="M234" s="409" t="e">
        <f>'03'!#REF!+'04'!#REF!</f>
        <v>#REF!</v>
      </c>
      <c r="N234" s="409" t="e">
        <f t="shared" si="46"/>
        <v>#REF!</v>
      </c>
      <c r="O234" s="409" t="e">
        <f>'07'!#REF!</f>
        <v>#REF!</v>
      </c>
      <c r="P234" s="409" t="e">
        <f t="shared" si="47"/>
        <v>#REF!</v>
      </c>
    </row>
    <row r="235" spans="1:16" ht="24.75" customHeight="1" hidden="1">
      <c r="A235" s="431" t="s">
        <v>149</v>
      </c>
      <c r="B235" s="434" t="s">
        <v>148</v>
      </c>
      <c r="C235" s="404">
        <f t="shared" si="50"/>
        <v>0</v>
      </c>
      <c r="D235" s="404">
        <f t="shared" si="51"/>
        <v>0</v>
      </c>
      <c r="E235" s="409">
        <v>0</v>
      </c>
      <c r="F235" s="409">
        <v>0</v>
      </c>
      <c r="G235" s="409"/>
      <c r="H235" s="409">
        <v>0</v>
      </c>
      <c r="I235" s="409">
        <v>0</v>
      </c>
      <c r="J235" s="409">
        <v>0</v>
      </c>
      <c r="K235" s="409">
        <v>0</v>
      </c>
      <c r="L235" s="409">
        <v>0</v>
      </c>
      <c r="M235" s="409" t="e">
        <f>'03'!#REF!+'04'!#REF!</f>
        <v>#REF!</v>
      </c>
      <c r="N235" s="409" t="e">
        <f t="shared" si="46"/>
        <v>#REF!</v>
      </c>
      <c r="O235" s="409" t="e">
        <f>'07'!#REF!</f>
        <v>#REF!</v>
      </c>
      <c r="P235" s="409" t="e">
        <f t="shared" si="47"/>
        <v>#REF!</v>
      </c>
    </row>
    <row r="236" spans="1:16" ht="24.75" customHeight="1" hidden="1">
      <c r="A236" s="431" t="s">
        <v>186</v>
      </c>
      <c r="B236" s="432" t="s">
        <v>150</v>
      </c>
      <c r="C236" s="404">
        <f t="shared" si="50"/>
        <v>0</v>
      </c>
      <c r="D236" s="404">
        <f t="shared" si="51"/>
        <v>0</v>
      </c>
      <c r="E236" s="409">
        <v>0</v>
      </c>
      <c r="F236" s="409">
        <v>0</v>
      </c>
      <c r="G236" s="409">
        <v>0</v>
      </c>
      <c r="H236" s="409">
        <v>0</v>
      </c>
      <c r="I236" s="409">
        <v>0</v>
      </c>
      <c r="J236" s="409">
        <v>0</v>
      </c>
      <c r="K236" s="409">
        <v>0</v>
      </c>
      <c r="L236" s="409">
        <v>0</v>
      </c>
      <c r="M236" s="409" t="e">
        <f>'03'!#REF!+'04'!#REF!</f>
        <v>#REF!</v>
      </c>
      <c r="N236" s="409" t="e">
        <f t="shared" si="46"/>
        <v>#REF!</v>
      </c>
      <c r="O236" s="409" t="e">
        <f>'07'!#REF!</f>
        <v>#REF!</v>
      </c>
      <c r="P236" s="409" t="e">
        <f t="shared" si="47"/>
        <v>#REF!</v>
      </c>
    </row>
    <row r="237" spans="1:16" ht="24.75" customHeight="1" hidden="1">
      <c r="A237" s="394" t="s">
        <v>53</v>
      </c>
      <c r="B237" s="395" t="s">
        <v>151</v>
      </c>
      <c r="C237" s="404">
        <f t="shared" si="50"/>
        <v>41540</v>
      </c>
      <c r="D237" s="404">
        <f t="shared" si="51"/>
        <v>41540</v>
      </c>
      <c r="E237" s="409">
        <v>4640</v>
      </c>
      <c r="F237" s="409">
        <v>0</v>
      </c>
      <c r="G237" s="409">
        <v>26600</v>
      </c>
      <c r="H237" s="409">
        <v>10300</v>
      </c>
      <c r="I237" s="409">
        <v>0</v>
      </c>
      <c r="J237" s="409">
        <v>0</v>
      </c>
      <c r="K237" s="409">
        <v>0</v>
      </c>
      <c r="L237" s="409">
        <v>0</v>
      </c>
      <c r="M237" s="404" t="e">
        <f>'03'!#REF!+'04'!#REF!</f>
        <v>#REF!</v>
      </c>
      <c r="N237" s="404" t="e">
        <f t="shared" si="46"/>
        <v>#REF!</v>
      </c>
      <c r="O237" s="404" t="e">
        <f>'07'!#REF!</f>
        <v>#REF!</v>
      </c>
      <c r="P237" s="404" t="e">
        <f t="shared" si="47"/>
        <v>#REF!</v>
      </c>
    </row>
    <row r="238" spans="1:16" ht="24.75" customHeight="1" hidden="1">
      <c r="A238" s="463" t="s">
        <v>76</v>
      </c>
      <c r="B238" s="492" t="s">
        <v>215</v>
      </c>
      <c r="C238" s="476">
        <f>(C229+C230+C231)/C228</f>
        <v>0.5535484599716517</v>
      </c>
      <c r="D238" s="396">
        <f aca="true" t="shared" si="52" ref="D238:L238">(D229+D230+D231)/D228</f>
        <v>0.5672450587923507</v>
      </c>
      <c r="E238" s="414">
        <f t="shared" si="52"/>
        <v>0.5173657672069698</v>
      </c>
      <c r="F238" s="414" t="e">
        <f t="shared" si="52"/>
        <v>#DIV/0!</v>
      </c>
      <c r="G238" s="414" t="e">
        <f t="shared" si="52"/>
        <v>#DIV/0!</v>
      </c>
      <c r="H238" s="414" t="e">
        <f t="shared" si="52"/>
        <v>#DIV/0!</v>
      </c>
      <c r="I238" s="414" t="e">
        <f t="shared" si="52"/>
        <v>#DIV/0!</v>
      </c>
      <c r="J238" s="414">
        <f t="shared" si="52"/>
        <v>0.9681689253072802</v>
      </c>
      <c r="K238" s="414" t="e">
        <f t="shared" si="52"/>
        <v>#DIV/0!</v>
      </c>
      <c r="L238" s="414">
        <f t="shared" si="52"/>
        <v>0.5487053020961775</v>
      </c>
      <c r="M238" s="425"/>
      <c r="N238" s="493"/>
      <c r="O238" s="493"/>
      <c r="P238" s="493"/>
    </row>
    <row r="239" spans="1:16" ht="27.75" customHeight="1" hidden="1">
      <c r="A239" s="1515" t="s">
        <v>500</v>
      </c>
      <c r="B239" s="1515"/>
      <c r="C239" s="409">
        <f>C222-C225-C226-C227</f>
        <v>0</v>
      </c>
      <c r="D239" s="409">
        <f aca="true" t="shared" si="53" ref="D239:L239">D222-D225-D226-D227</f>
        <v>0</v>
      </c>
      <c r="E239" s="409">
        <f t="shared" si="53"/>
        <v>0</v>
      </c>
      <c r="F239" s="409">
        <f t="shared" si="53"/>
        <v>0</v>
      </c>
      <c r="G239" s="409">
        <f t="shared" si="53"/>
        <v>0</v>
      </c>
      <c r="H239" s="409">
        <f t="shared" si="53"/>
        <v>0</v>
      </c>
      <c r="I239" s="409">
        <f t="shared" si="53"/>
        <v>0</v>
      </c>
      <c r="J239" s="409">
        <f t="shared" si="53"/>
        <v>0</v>
      </c>
      <c r="K239" s="409">
        <f t="shared" si="53"/>
        <v>0</v>
      </c>
      <c r="L239" s="409">
        <f t="shared" si="53"/>
        <v>0</v>
      </c>
      <c r="M239" s="425"/>
      <c r="N239" s="493"/>
      <c r="O239" s="493"/>
      <c r="P239" s="493"/>
    </row>
    <row r="240" spans="1:16" ht="17.25" hidden="1">
      <c r="A240" s="1516" t="s">
        <v>501</v>
      </c>
      <c r="B240" s="1516"/>
      <c r="C240" s="409">
        <f>C227-C228-C237</f>
        <v>0</v>
      </c>
      <c r="D240" s="409">
        <f aca="true" t="shared" si="54" ref="D240:L240">D227-D228-D237</f>
        <v>0</v>
      </c>
      <c r="E240" s="409">
        <f t="shared" si="54"/>
        <v>0</v>
      </c>
      <c r="F240" s="409">
        <f t="shared" si="54"/>
        <v>0</v>
      </c>
      <c r="G240" s="409">
        <f t="shared" si="54"/>
        <v>0</v>
      </c>
      <c r="H240" s="409">
        <f t="shared" si="54"/>
        <v>0</v>
      </c>
      <c r="I240" s="409">
        <f t="shared" si="54"/>
        <v>0</v>
      </c>
      <c r="J240" s="409">
        <f t="shared" si="54"/>
        <v>0</v>
      </c>
      <c r="K240" s="409">
        <f t="shared" si="54"/>
        <v>0</v>
      </c>
      <c r="L240" s="409">
        <f t="shared" si="54"/>
        <v>0</v>
      </c>
      <c r="M240" s="425"/>
      <c r="N240" s="493"/>
      <c r="O240" s="493"/>
      <c r="P240" s="493"/>
    </row>
    <row r="241" spans="1:16" ht="18.75" hidden="1">
      <c r="A241" s="478"/>
      <c r="B241" s="494" t="s">
        <v>520</v>
      </c>
      <c r="C241" s="494"/>
      <c r="D241" s="466"/>
      <c r="E241" s="466"/>
      <c r="F241" s="466"/>
      <c r="G241" s="1518" t="s">
        <v>520</v>
      </c>
      <c r="H241" s="1518"/>
      <c r="I241" s="1518"/>
      <c r="J241" s="1518"/>
      <c r="K241" s="1518"/>
      <c r="L241" s="1518"/>
      <c r="M241" s="481"/>
      <c r="N241" s="481"/>
      <c r="O241" s="481"/>
      <c r="P241" s="481"/>
    </row>
    <row r="242" spans="1:16" ht="18.75" hidden="1">
      <c r="A242" s="1551" t="s">
        <v>4</v>
      </c>
      <c r="B242" s="1551"/>
      <c r="C242" s="1551"/>
      <c r="D242" s="1551"/>
      <c r="E242" s="466"/>
      <c r="F242" s="466"/>
      <c r="G242" s="495"/>
      <c r="H242" s="1552" t="s">
        <v>521</v>
      </c>
      <c r="I242" s="1552"/>
      <c r="J242" s="1552"/>
      <c r="K242" s="1552"/>
      <c r="L242" s="1552"/>
      <c r="M242" s="481"/>
      <c r="N242" s="481"/>
      <c r="O242" s="481"/>
      <c r="P242" s="481"/>
    </row>
    <row r="243" ht="15" hidden="1"/>
    <row r="244" ht="15" hidden="1"/>
    <row r="245" ht="15" hidden="1"/>
    <row r="246" ht="98.25" customHeight="1" hidden="1"/>
    <row r="247" ht="15" hidden="1"/>
    <row r="248" ht="63.75" customHeight="1" hidden="1"/>
    <row r="249" ht="15" hidden="1"/>
    <row r="250" ht="15" hidden="1"/>
    <row r="251" spans="1:13" ht="16.5" hidden="1">
      <c r="A251" s="1540" t="s">
        <v>33</v>
      </c>
      <c r="B251" s="1541"/>
      <c r="C251" s="477"/>
      <c r="D251" s="1532" t="s">
        <v>79</v>
      </c>
      <c r="E251" s="1532"/>
      <c r="F251" s="1532"/>
      <c r="G251" s="1532"/>
      <c r="H251" s="1532"/>
      <c r="I251" s="1532"/>
      <c r="J251" s="1532"/>
      <c r="K251" s="1542"/>
      <c r="L251" s="1542"/>
      <c r="M251" s="481"/>
    </row>
    <row r="252" spans="1:13" ht="16.5" hidden="1">
      <c r="A252" s="1495" t="s">
        <v>344</v>
      </c>
      <c r="B252" s="1495"/>
      <c r="C252" s="1495"/>
      <c r="D252" s="1532" t="s">
        <v>216</v>
      </c>
      <c r="E252" s="1532"/>
      <c r="F252" s="1532"/>
      <c r="G252" s="1532"/>
      <c r="H252" s="1532"/>
      <c r="I252" s="1532"/>
      <c r="J252" s="1532"/>
      <c r="K252" s="1539" t="s">
        <v>512</v>
      </c>
      <c r="L252" s="1539"/>
      <c r="M252" s="478"/>
    </row>
    <row r="253" spans="1:13" ht="16.5" hidden="1">
      <c r="A253" s="1495" t="s">
        <v>345</v>
      </c>
      <c r="B253" s="1495"/>
      <c r="C253" s="415"/>
      <c r="D253" s="1543" t="s">
        <v>11</v>
      </c>
      <c r="E253" s="1543"/>
      <c r="F253" s="1543"/>
      <c r="G253" s="1543"/>
      <c r="H253" s="1543"/>
      <c r="I253" s="1543"/>
      <c r="J253" s="1543"/>
      <c r="K253" s="1542"/>
      <c r="L253" s="1542"/>
      <c r="M253" s="481"/>
    </row>
    <row r="254" spans="1:13" ht="15.75" hidden="1">
      <c r="A254" s="436" t="s">
        <v>119</v>
      </c>
      <c r="B254" s="436"/>
      <c r="C254" s="421"/>
      <c r="D254" s="482"/>
      <c r="E254" s="482"/>
      <c r="F254" s="483"/>
      <c r="G254" s="483"/>
      <c r="H254" s="483"/>
      <c r="I254" s="483"/>
      <c r="J254" s="483"/>
      <c r="K254" s="1544"/>
      <c r="L254" s="1544"/>
      <c r="M254" s="478"/>
    </row>
    <row r="255" spans="1:13" ht="15.75" hidden="1">
      <c r="A255" s="482"/>
      <c r="B255" s="482" t="s">
        <v>94</v>
      </c>
      <c r="C255" s="482"/>
      <c r="D255" s="482"/>
      <c r="E255" s="409">
        <v>122557</v>
      </c>
      <c r="F255" s="409"/>
      <c r="G255" s="409">
        <v>181987</v>
      </c>
      <c r="H255" s="409"/>
      <c r="I255" s="409">
        <v>16298</v>
      </c>
      <c r="J255" s="409"/>
      <c r="K255" s="409">
        <v>251785</v>
      </c>
      <c r="L255" s="409"/>
      <c r="M255" s="478"/>
    </row>
    <row r="256" spans="1:13" ht="15.75" hidden="1">
      <c r="A256" s="1143" t="s">
        <v>71</v>
      </c>
      <c r="B256" s="1144"/>
      <c r="C256" s="1509" t="s">
        <v>38</v>
      </c>
      <c r="D256" s="1519" t="s">
        <v>339</v>
      </c>
      <c r="E256" s="1519"/>
      <c r="F256" s="1519"/>
      <c r="G256" s="1519"/>
      <c r="H256" s="1519"/>
      <c r="I256" s="1519"/>
      <c r="J256" s="1519"/>
      <c r="K256" s="1519"/>
      <c r="L256" s="1519"/>
      <c r="M256" s="481"/>
    </row>
    <row r="257" spans="1:13" ht="15.75" hidden="1">
      <c r="A257" s="1145"/>
      <c r="B257" s="1146"/>
      <c r="C257" s="1509"/>
      <c r="D257" s="1545" t="s">
        <v>207</v>
      </c>
      <c r="E257" s="1546"/>
      <c r="F257" s="1546"/>
      <c r="G257" s="1546"/>
      <c r="H257" s="1546"/>
      <c r="I257" s="1546"/>
      <c r="J257" s="1547"/>
      <c r="K257" s="1548" t="s">
        <v>208</v>
      </c>
      <c r="L257" s="1548" t="s">
        <v>209</v>
      </c>
      <c r="M257" s="478"/>
    </row>
    <row r="258" spans="1:13" ht="15.75" hidden="1">
      <c r="A258" s="1145"/>
      <c r="B258" s="1146"/>
      <c r="C258" s="1509"/>
      <c r="D258" s="1555" t="s">
        <v>37</v>
      </c>
      <c r="E258" s="1556" t="s">
        <v>7</v>
      </c>
      <c r="F258" s="1557"/>
      <c r="G258" s="1557"/>
      <c r="H258" s="1557"/>
      <c r="I258" s="1557"/>
      <c r="J258" s="1558"/>
      <c r="K258" s="1549"/>
      <c r="L258" s="1553"/>
      <c r="M258" s="478"/>
    </row>
    <row r="259" spans="1:16" ht="15.75" hidden="1">
      <c r="A259" s="1513"/>
      <c r="B259" s="1514"/>
      <c r="C259" s="1509"/>
      <c r="D259" s="1555"/>
      <c r="E259" s="484" t="s">
        <v>210</v>
      </c>
      <c r="F259" s="484" t="s">
        <v>211</v>
      </c>
      <c r="G259" s="484" t="s">
        <v>212</v>
      </c>
      <c r="H259" s="484" t="s">
        <v>213</v>
      </c>
      <c r="I259" s="484" t="s">
        <v>346</v>
      </c>
      <c r="J259" s="484" t="s">
        <v>214</v>
      </c>
      <c r="K259" s="1550"/>
      <c r="L259" s="1554"/>
      <c r="M259" s="1507" t="s">
        <v>502</v>
      </c>
      <c r="N259" s="1507"/>
      <c r="O259" s="1507"/>
      <c r="P259" s="1507"/>
    </row>
    <row r="260" spans="1:16" ht="15" hidden="1">
      <c r="A260" s="1511" t="s">
        <v>6</v>
      </c>
      <c r="B260" s="1512"/>
      <c r="C260" s="485">
        <v>1</v>
      </c>
      <c r="D260" s="486">
        <v>2</v>
      </c>
      <c r="E260" s="485">
        <v>3</v>
      </c>
      <c r="F260" s="486">
        <v>4</v>
      </c>
      <c r="G260" s="485">
        <v>5</v>
      </c>
      <c r="H260" s="486">
        <v>6</v>
      </c>
      <c r="I260" s="485">
        <v>7</v>
      </c>
      <c r="J260" s="486">
        <v>8</v>
      </c>
      <c r="K260" s="485">
        <v>9</v>
      </c>
      <c r="L260" s="486">
        <v>10</v>
      </c>
      <c r="M260" s="487" t="s">
        <v>503</v>
      </c>
      <c r="N260" s="488" t="s">
        <v>506</v>
      </c>
      <c r="O260" s="488" t="s">
        <v>504</v>
      </c>
      <c r="P260" s="488" t="s">
        <v>505</v>
      </c>
    </row>
    <row r="261" spans="1:16" ht="24.75" customHeight="1" hidden="1">
      <c r="A261" s="428" t="s">
        <v>0</v>
      </c>
      <c r="B261" s="429" t="s">
        <v>131</v>
      </c>
      <c r="C261" s="404">
        <f>C262+C263</f>
        <v>14401463.6</v>
      </c>
      <c r="D261" s="404">
        <f aca="true" t="shared" si="55" ref="D261:L261">D262+D263</f>
        <v>614882.6</v>
      </c>
      <c r="E261" s="404">
        <f t="shared" si="55"/>
        <v>234185.6</v>
      </c>
      <c r="F261" s="404">
        <f t="shared" si="55"/>
        <v>0</v>
      </c>
      <c r="G261" s="404">
        <f t="shared" si="55"/>
        <v>184987</v>
      </c>
      <c r="H261" s="404">
        <f t="shared" si="55"/>
        <v>34168</v>
      </c>
      <c r="I261" s="404">
        <f t="shared" si="55"/>
        <v>10894</v>
      </c>
      <c r="J261" s="404">
        <f t="shared" si="55"/>
        <v>150648</v>
      </c>
      <c r="K261" s="404">
        <f t="shared" si="55"/>
        <v>13573329</v>
      </c>
      <c r="L261" s="404">
        <f t="shared" si="55"/>
        <v>213252</v>
      </c>
      <c r="M261" s="404" t="e">
        <f>'03'!#REF!+'04'!#REF!</f>
        <v>#REF!</v>
      </c>
      <c r="N261" s="404" t="e">
        <f>C261-M261</f>
        <v>#REF!</v>
      </c>
      <c r="O261" s="404" t="e">
        <f>'07'!#REF!</f>
        <v>#REF!</v>
      </c>
      <c r="P261" s="404" t="e">
        <f>C261-O261</f>
        <v>#REF!</v>
      </c>
    </row>
    <row r="262" spans="1:16" ht="24.75" customHeight="1" hidden="1">
      <c r="A262" s="431">
        <v>1</v>
      </c>
      <c r="B262" s="432" t="s">
        <v>132</v>
      </c>
      <c r="C262" s="404">
        <f>D262+K262+L262</f>
        <v>572626.6</v>
      </c>
      <c r="D262" s="404">
        <f>E262+F262+G262+H262+I262+J262</f>
        <v>320841.6</v>
      </c>
      <c r="E262" s="409">
        <v>117866.6</v>
      </c>
      <c r="F262" s="409">
        <v>0</v>
      </c>
      <c r="G262" s="409">
        <v>181987</v>
      </c>
      <c r="H262" s="409">
        <v>15098</v>
      </c>
      <c r="I262" s="409">
        <v>5890</v>
      </c>
      <c r="J262" s="409">
        <v>0</v>
      </c>
      <c r="K262" s="409">
        <v>197579</v>
      </c>
      <c r="L262" s="409">
        <v>54206</v>
      </c>
      <c r="M262" s="409" t="e">
        <f>'03'!#REF!+'04'!#REF!</f>
        <v>#REF!</v>
      </c>
      <c r="N262" s="409" t="e">
        <f aca="true" t="shared" si="56" ref="N262:N276">C262-M262</f>
        <v>#REF!</v>
      </c>
      <c r="O262" s="409" t="e">
        <f>'07'!#REF!</f>
        <v>#REF!</v>
      </c>
      <c r="P262" s="409" t="e">
        <f aca="true" t="shared" si="57" ref="P262:P276">C262-O262</f>
        <v>#REF!</v>
      </c>
    </row>
    <row r="263" spans="1:16" ht="24.75" customHeight="1" hidden="1">
      <c r="A263" s="431">
        <v>2</v>
      </c>
      <c r="B263" s="432" t="s">
        <v>133</v>
      </c>
      <c r="C263" s="404">
        <f>D263+K263+L263</f>
        <v>13828837</v>
      </c>
      <c r="D263" s="404">
        <f>E263+F263+G263+H263+I263+J263</f>
        <v>294041</v>
      </c>
      <c r="E263" s="409">
        <v>116319</v>
      </c>
      <c r="F263" s="409">
        <v>0</v>
      </c>
      <c r="G263" s="409">
        <v>3000</v>
      </c>
      <c r="H263" s="409">
        <v>19070</v>
      </c>
      <c r="I263" s="409">
        <v>5004</v>
      </c>
      <c r="J263" s="409">
        <v>150648</v>
      </c>
      <c r="K263" s="409">
        <v>13375750</v>
      </c>
      <c r="L263" s="409">
        <v>159046</v>
      </c>
      <c r="M263" s="409" t="e">
        <f>'03'!#REF!+'04'!#REF!</f>
        <v>#REF!</v>
      </c>
      <c r="N263" s="409" t="e">
        <f t="shared" si="56"/>
        <v>#REF!</v>
      </c>
      <c r="O263" s="409" t="e">
        <f>'07'!#REF!</f>
        <v>#REF!</v>
      </c>
      <c r="P263" s="409" t="e">
        <f t="shared" si="57"/>
        <v>#REF!</v>
      </c>
    </row>
    <row r="264" spans="1:16" ht="24.75" customHeight="1" hidden="1">
      <c r="A264" s="394" t="s">
        <v>1</v>
      </c>
      <c r="B264" s="395" t="s">
        <v>134</v>
      </c>
      <c r="C264" s="404">
        <f>D264+K264+L264</f>
        <v>0</v>
      </c>
      <c r="D264" s="404">
        <f>E264+F264+G264+H264+I264+J264</f>
        <v>0</v>
      </c>
      <c r="E264" s="409">
        <v>0</v>
      </c>
      <c r="F264" s="409">
        <v>0</v>
      </c>
      <c r="G264" s="409">
        <v>0</v>
      </c>
      <c r="H264" s="409">
        <v>0</v>
      </c>
      <c r="I264" s="409">
        <v>0</v>
      </c>
      <c r="J264" s="409">
        <v>0</v>
      </c>
      <c r="K264" s="409">
        <v>0</v>
      </c>
      <c r="L264" s="409">
        <v>0</v>
      </c>
      <c r="M264" s="409" t="e">
        <f>'03'!#REF!+'04'!#REF!</f>
        <v>#REF!</v>
      </c>
      <c r="N264" s="409" t="e">
        <f t="shared" si="56"/>
        <v>#REF!</v>
      </c>
      <c r="O264" s="409" t="e">
        <f>'07'!#REF!</f>
        <v>#REF!</v>
      </c>
      <c r="P264" s="409" t="e">
        <f t="shared" si="57"/>
        <v>#REF!</v>
      </c>
    </row>
    <row r="265" spans="1:16" ht="24.75" customHeight="1" hidden="1">
      <c r="A265" s="394" t="s">
        <v>9</v>
      </c>
      <c r="B265" s="395" t="s">
        <v>135</v>
      </c>
      <c r="C265" s="404">
        <f>D265+K265+L265</f>
        <v>0</v>
      </c>
      <c r="D265" s="404">
        <f>E265+F265+G265+H265+I265+J265</f>
        <v>0</v>
      </c>
      <c r="E265" s="409">
        <v>0</v>
      </c>
      <c r="F265" s="409">
        <v>0</v>
      </c>
      <c r="G265" s="409">
        <v>0</v>
      </c>
      <c r="H265" s="409">
        <v>0</v>
      </c>
      <c r="I265" s="409">
        <v>0</v>
      </c>
      <c r="J265" s="409">
        <v>0</v>
      </c>
      <c r="K265" s="409">
        <v>0</v>
      </c>
      <c r="L265" s="409">
        <v>0</v>
      </c>
      <c r="M265" s="409" t="e">
        <f>'03'!#REF!+'04'!#REF!</f>
        <v>#REF!</v>
      </c>
      <c r="N265" s="409" t="e">
        <f t="shared" si="56"/>
        <v>#REF!</v>
      </c>
      <c r="O265" s="409" t="e">
        <f>'07'!#REF!</f>
        <v>#REF!</v>
      </c>
      <c r="P265" s="409" t="e">
        <f t="shared" si="57"/>
        <v>#REF!</v>
      </c>
    </row>
    <row r="266" spans="1:16" ht="24.75" customHeight="1" hidden="1">
      <c r="A266" s="394" t="s">
        <v>136</v>
      </c>
      <c r="B266" s="395" t="s">
        <v>137</v>
      </c>
      <c r="C266" s="404">
        <f>C267+C276</f>
        <v>14401463.6</v>
      </c>
      <c r="D266" s="404">
        <f aca="true" t="shared" si="58" ref="D266:L266">D267+D276</f>
        <v>614882.6</v>
      </c>
      <c r="E266" s="404">
        <f t="shared" si="58"/>
        <v>234185.6</v>
      </c>
      <c r="F266" s="404">
        <f t="shared" si="58"/>
        <v>0</v>
      </c>
      <c r="G266" s="404">
        <f t="shared" si="58"/>
        <v>184987</v>
      </c>
      <c r="H266" s="404">
        <f t="shared" si="58"/>
        <v>34168</v>
      </c>
      <c r="I266" s="404">
        <f t="shared" si="58"/>
        <v>10894</v>
      </c>
      <c r="J266" s="404">
        <f t="shared" si="58"/>
        <v>150648</v>
      </c>
      <c r="K266" s="404">
        <f t="shared" si="58"/>
        <v>13573329</v>
      </c>
      <c r="L266" s="404">
        <f t="shared" si="58"/>
        <v>213252</v>
      </c>
      <c r="M266" s="404" t="e">
        <f>'03'!#REF!+'04'!#REF!</f>
        <v>#REF!</v>
      </c>
      <c r="N266" s="404" t="e">
        <f t="shared" si="56"/>
        <v>#REF!</v>
      </c>
      <c r="O266" s="404" t="e">
        <f>'07'!#REF!</f>
        <v>#REF!</v>
      </c>
      <c r="P266" s="404" t="e">
        <f t="shared" si="57"/>
        <v>#REF!</v>
      </c>
    </row>
    <row r="267" spans="1:16" ht="24.75" customHeight="1" hidden="1">
      <c r="A267" s="394" t="s">
        <v>52</v>
      </c>
      <c r="B267" s="433" t="s">
        <v>138</v>
      </c>
      <c r="C267" s="404">
        <f>SUM(C268:C275)</f>
        <v>14089737</v>
      </c>
      <c r="D267" s="404">
        <f aca="true" t="shared" si="59" ref="D267:L267">SUM(D268:D275)</f>
        <v>303156</v>
      </c>
      <c r="E267" s="404">
        <f t="shared" si="59"/>
        <v>125434</v>
      </c>
      <c r="F267" s="404">
        <f t="shared" si="59"/>
        <v>0</v>
      </c>
      <c r="G267" s="404">
        <f t="shared" si="59"/>
        <v>3000</v>
      </c>
      <c r="H267" s="404">
        <f t="shared" si="59"/>
        <v>19070</v>
      </c>
      <c r="I267" s="404">
        <f t="shared" si="59"/>
        <v>5004</v>
      </c>
      <c r="J267" s="404">
        <f t="shared" si="59"/>
        <v>150648</v>
      </c>
      <c r="K267" s="404">
        <f t="shared" si="59"/>
        <v>13573329</v>
      </c>
      <c r="L267" s="404">
        <f t="shared" si="59"/>
        <v>213252</v>
      </c>
      <c r="M267" s="404" t="e">
        <f>'03'!#REF!+'04'!#REF!</f>
        <v>#REF!</v>
      </c>
      <c r="N267" s="404" t="e">
        <f t="shared" si="56"/>
        <v>#REF!</v>
      </c>
      <c r="O267" s="404" t="e">
        <f>'07'!#REF!</f>
        <v>#REF!</v>
      </c>
      <c r="P267" s="404" t="e">
        <f t="shared" si="57"/>
        <v>#REF!</v>
      </c>
    </row>
    <row r="268" spans="1:16" ht="24.75" customHeight="1" hidden="1">
      <c r="A268" s="431" t="s">
        <v>54</v>
      </c>
      <c r="B268" s="432" t="s">
        <v>139</v>
      </c>
      <c r="C268" s="404">
        <f aca="true" t="shared" si="60" ref="C268:C276">D268+K268+L268</f>
        <v>185401</v>
      </c>
      <c r="D268" s="404">
        <f aca="true" t="shared" si="61" ref="D268:D276">E268+F268+G268+H268+I268+J268</f>
        <v>142000</v>
      </c>
      <c r="E268" s="409">
        <v>10002</v>
      </c>
      <c r="F268" s="409">
        <v>0</v>
      </c>
      <c r="G268" s="409">
        <v>0</v>
      </c>
      <c r="H268" s="409">
        <v>1500</v>
      </c>
      <c r="I268" s="409">
        <v>5004</v>
      </c>
      <c r="J268" s="409">
        <v>125494</v>
      </c>
      <c r="K268" s="409">
        <v>35000</v>
      </c>
      <c r="L268" s="409">
        <v>8401</v>
      </c>
      <c r="M268" s="409" t="e">
        <f>'03'!#REF!+'04'!#REF!</f>
        <v>#REF!</v>
      </c>
      <c r="N268" s="409" t="e">
        <f t="shared" si="56"/>
        <v>#REF!</v>
      </c>
      <c r="O268" s="409" t="e">
        <f>'07'!#REF!</f>
        <v>#REF!</v>
      </c>
      <c r="P268" s="409" t="e">
        <f t="shared" si="57"/>
        <v>#REF!</v>
      </c>
    </row>
    <row r="269" spans="1:16" ht="24.75" customHeight="1" hidden="1">
      <c r="A269" s="431" t="s">
        <v>55</v>
      </c>
      <c r="B269" s="432" t="s">
        <v>140</v>
      </c>
      <c r="C269" s="404">
        <f t="shared" si="60"/>
        <v>0</v>
      </c>
      <c r="D269" s="404">
        <f>E269+F269+G269+H269+I269+J269</f>
        <v>0</v>
      </c>
      <c r="E269" s="409">
        <v>0</v>
      </c>
      <c r="F269" s="409">
        <v>0</v>
      </c>
      <c r="G269" s="409">
        <v>0</v>
      </c>
      <c r="H269" s="409">
        <v>0</v>
      </c>
      <c r="I269" s="409">
        <v>0</v>
      </c>
      <c r="J269" s="409">
        <v>0</v>
      </c>
      <c r="K269" s="409">
        <v>0</v>
      </c>
      <c r="L269" s="409">
        <v>0</v>
      </c>
      <c r="M269" s="409" t="e">
        <f>'03'!#REF!+'04'!#REF!</f>
        <v>#REF!</v>
      </c>
      <c r="N269" s="409" t="e">
        <f t="shared" si="56"/>
        <v>#REF!</v>
      </c>
      <c r="O269" s="409" t="e">
        <f>'07'!#REF!</f>
        <v>#REF!</v>
      </c>
      <c r="P269" s="409" t="e">
        <f t="shared" si="57"/>
        <v>#REF!</v>
      </c>
    </row>
    <row r="270" spans="1:16" ht="24.75" customHeight="1" hidden="1">
      <c r="A270" s="431" t="s">
        <v>141</v>
      </c>
      <c r="B270" s="432" t="s">
        <v>202</v>
      </c>
      <c r="C270" s="404">
        <f t="shared" si="60"/>
        <v>0</v>
      </c>
      <c r="D270" s="404">
        <f t="shared" si="61"/>
        <v>0</v>
      </c>
      <c r="E270" s="409">
        <v>0</v>
      </c>
      <c r="F270" s="409">
        <v>0</v>
      </c>
      <c r="G270" s="409">
        <v>0</v>
      </c>
      <c r="H270" s="409">
        <v>0</v>
      </c>
      <c r="I270" s="409">
        <v>0</v>
      </c>
      <c r="J270" s="409">
        <v>0</v>
      </c>
      <c r="K270" s="409">
        <v>0</v>
      </c>
      <c r="L270" s="409">
        <v>0</v>
      </c>
      <c r="M270" s="409" t="e">
        <f>'03'!#REF!</f>
        <v>#REF!</v>
      </c>
      <c r="N270" s="409" t="e">
        <f t="shared" si="56"/>
        <v>#REF!</v>
      </c>
      <c r="O270" s="409" t="e">
        <f>'07'!#REF!</f>
        <v>#REF!</v>
      </c>
      <c r="P270" s="409" t="e">
        <f t="shared" si="57"/>
        <v>#REF!</v>
      </c>
    </row>
    <row r="271" spans="1:16" ht="24.75" customHeight="1" hidden="1">
      <c r="A271" s="431" t="s">
        <v>143</v>
      </c>
      <c r="B271" s="432" t="s">
        <v>142</v>
      </c>
      <c r="C271" s="404">
        <f t="shared" si="60"/>
        <v>13859195</v>
      </c>
      <c r="D271" s="404">
        <f t="shared" si="61"/>
        <v>161156</v>
      </c>
      <c r="E271" s="409">
        <v>115432</v>
      </c>
      <c r="F271" s="409">
        <v>0</v>
      </c>
      <c r="G271" s="409">
        <v>3000</v>
      </c>
      <c r="H271" s="409">
        <v>17570</v>
      </c>
      <c r="I271" s="409">
        <v>0</v>
      </c>
      <c r="J271" s="409">
        <v>25154</v>
      </c>
      <c r="K271" s="409">
        <v>13538329</v>
      </c>
      <c r="L271" s="409">
        <v>159710</v>
      </c>
      <c r="M271" s="409" t="e">
        <f>'03'!#REF!+'04'!#REF!</f>
        <v>#REF!</v>
      </c>
      <c r="N271" s="409" t="e">
        <f t="shared" si="56"/>
        <v>#REF!</v>
      </c>
      <c r="O271" s="409" t="e">
        <f>'07'!#REF!</f>
        <v>#REF!</v>
      </c>
      <c r="P271" s="409" t="e">
        <f t="shared" si="57"/>
        <v>#REF!</v>
      </c>
    </row>
    <row r="272" spans="1:16" ht="24.75" customHeight="1" hidden="1">
      <c r="A272" s="431" t="s">
        <v>145</v>
      </c>
      <c r="B272" s="432" t="s">
        <v>144</v>
      </c>
      <c r="C272" s="404">
        <f t="shared" si="60"/>
        <v>0</v>
      </c>
      <c r="D272" s="404">
        <f t="shared" si="61"/>
        <v>0</v>
      </c>
      <c r="E272" s="409">
        <v>0</v>
      </c>
      <c r="F272" s="409">
        <v>0</v>
      </c>
      <c r="G272" s="409">
        <v>0</v>
      </c>
      <c r="H272" s="409">
        <v>0</v>
      </c>
      <c r="I272" s="409">
        <v>0</v>
      </c>
      <c r="J272" s="409">
        <v>0</v>
      </c>
      <c r="K272" s="409">
        <v>0</v>
      </c>
      <c r="L272" s="409">
        <v>0</v>
      </c>
      <c r="M272" s="409" t="e">
        <f>'03'!#REF!+'04'!#REF!</f>
        <v>#REF!</v>
      </c>
      <c r="N272" s="409" t="e">
        <f t="shared" si="56"/>
        <v>#REF!</v>
      </c>
      <c r="O272" s="409" t="e">
        <f>'07'!#REF!</f>
        <v>#REF!</v>
      </c>
      <c r="P272" s="409" t="e">
        <f t="shared" si="57"/>
        <v>#REF!</v>
      </c>
    </row>
    <row r="273" spans="1:16" ht="24.75" customHeight="1" hidden="1">
      <c r="A273" s="431" t="s">
        <v>147</v>
      </c>
      <c r="B273" s="432" t="s">
        <v>146</v>
      </c>
      <c r="C273" s="404">
        <f t="shared" si="60"/>
        <v>0</v>
      </c>
      <c r="D273" s="404">
        <f t="shared" si="61"/>
        <v>0</v>
      </c>
      <c r="E273" s="409">
        <v>0</v>
      </c>
      <c r="F273" s="409">
        <v>0</v>
      </c>
      <c r="G273" s="409">
        <v>0</v>
      </c>
      <c r="H273" s="409">
        <v>0</v>
      </c>
      <c r="I273" s="409">
        <v>0</v>
      </c>
      <c r="J273" s="409">
        <v>0</v>
      </c>
      <c r="K273" s="409">
        <v>0</v>
      </c>
      <c r="L273" s="409">
        <v>0</v>
      </c>
      <c r="M273" s="409" t="e">
        <f>'03'!#REF!+'04'!#REF!</f>
        <v>#REF!</v>
      </c>
      <c r="N273" s="409" t="e">
        <f t="shared" si="56"/>
        <v>#REF!</v>
      </c>
      <c r="O273" s="409" t="e">
        <f>'07'!#REF!</f>
        <v>#REF!</v>
      </c>
      <c r="P273" s="409" t="e">
        <f t="shared" si="57"/>
        <v>#REF!</v>
      </c>
    </row>
    <row r="274" spans="1:16" ht="24.75" customHeight="1" hidden="1">
      <c r="A274" s="431" t="s">
        <v>149</v>
      </c>
      <c r="B274" s="434" t="s">
        <v>148</v>
      </c>
      <c r="C274" s="404">
        <f t="shared" si="60"/>
        <v>0</v>
      </c>
      <c r="D274" s="404">
        <f t="shared" si="61"/>
        <v>0</v>
      </c>
      <c r="E274" s="409">
        <v>0</v>
      </c>
      <c r="F274" s="409">
        <v>0</v>
      </c>
      <c r="G274" s="409">
        <v>0</v>
      </c>
      <c r="H274" s="409">
        <v>0</v>
      </c>
      <c r="I274" s="409">
        <v>0</v>
      </c>
      <c r="J274" s="409">
        <v>0</v>
      </c>
      <c r="K274" s="409">
        <v>0</v>
      </c>
      <c r="L274" s="409">
        <v>0</v>
      </c>
      <c r="M274" s="409" t="e">
        <f>'03'!#REF!+'04'!#REF!</f>
        <v>#REF!</v>
      </c>
      <c r="N274" s="409" t="e">
        <f t="shared" si="56"/>
        <v>#REF!</v>
      </c>
      <c r="O274" s="409" t="e">
        <f>'07'!#REF!</f>
        <v>#REF!</v>
      </c>
      <c r="P274" s="409" t="e">
        <f t="shared" si="57"/>
        <v>#REF!</v>
      </c>
    </row>
    <row r="275" spans="1:16" ht="24.75" customHeight="1" hidden="1">
      <c r="A275" s="431" t="s">
        <v>186</v>
      </c>
      <c r="B275" s="432" t="s">
        <v>150</v>
      </c>
      <c r="C275" s="404">
        <f t="shared" si="60"/>
        <v>45141</v>
      </c>
      <c r="D275" s="404">
        <f t="shared" si="61"/>
        <v>0</v>
      </c>
      <c r="E275" s="409">
        <v>0</v>
      </c>
      <c r="F275" s="409">
        <v>0</v>
      </c>
      <c r="G275" s="409">
        <v>0</v>
      </c>
      <c r="H275" s="409">
        <v>0</v>
      </c>
      <c r="I275" s="409">
        <v>0</v>
      </c>
      <c r="J275" s="409">
        <v>0</v>
      </c>
      <c r="K275" s="409">
        <v>0</v>
      </c>
      <c r="L275" s="409">
        <v>45141</v>
      </c>
      <c r="M275" s="409" t="e">
        <f>'03'!#REF!+'04'!#REF!</f>
        <v>#REF!</v>
      </c>
      <c r="N275" s="409" t="e">
        <f t="shared" si="56"/>
        <v>#REF!</v>
      </c>
      <c r="O275" s="409" t="e">
        <f>'07'!#REF!</f>
        <v>#REF!</v>
      </c>
      <c r="P275" s="409" t="e">
        <f t="shared" si="57"/>
        <v>#REF!</v>
      </c>
    </row>
    <row r="276" spans="1:16" ht="24.75" customHeight="1" hidden="1">
      <c r="A276" s="394" t="s">
        <v>53</v>
      </c>
      <c r="B276" s="395" t="s">
        <v>151</v>
      </c>
      <c r="C276" s="404">
        <f t="shared" si="60"/>
        <v>311726.6</v>
      </c>
      <c r="D276" s="404">
        <f t="shared" si="61"/>
        <v>311726.6</v>
      </c>
      <c r="E276" s="409">
        <v>108751.6</v>
      </c>
      <c r="F276" s="409">
        <v>0</v>
      </c>
      <c r="G276" s="409">
        <v>181987</v>
      </c>
      <c r="H276" s="409">
        <v>15098</v>
      </c>
      <c r="I276" s="409">
        <v>5890</v>
      </c>
      <c r="J276" s="409">
        <v>0</v>
      </c>
      <c r="K276" s="409">
        <v>0</v>
      </c>
      <c r="L276" s="409">
        <v>0</v>
      </c>
      <c r="M276" s="404" t="e">
        <f>'03'!#REF!+'04'!#REF!</f>
        <v>#REF!</v>
      </c>
      <c r="N276" s="404" t="e">
        <f t="shared" si="56"/>
        <v>#REF!</v>
      </c>
      <c r="O276" s="404" t="e">
        <f>'07'!#REF!</f>
        <v>#REF!</v>
      </c>
      <c r="P276" s="404" t="e">
        <f t="shared" si="57"/>
        <v>#REF!</v>
      </c>
    </row>
    <row r="277" spans="1:16" ht="24.75" customHeight="1" hidden="1">
      <c r="A277" s="463" t="s">
        <v>76</v>
      </c>
      <c r="B277" s="492" t="s">
        <v>215</v>
      </c>
      <c r="C277" s="476">
        <f>(C268+C269+C270)/C267</f>
        <v>0.013158584862158889</v>
      </c>
      <c r="D277" s="396">
        <f aca="true" t="shared" si="62" ref="D277:L277">(D268+D269+D270)/D267</f>
        <v>0.468405705313436</v>
      </c>
      <c r="E277" s="414">
        <f t="shared" si="62"/>
        <v>0.0797391456861776</v>
      </c>
      <c r="F277" s="414" t="e">
        <f t="shared" si="62"/>
        <v>#DIV/0!</v>
      </c>
      <c r="G277" s="414">
        <f t="shared" si="62"/>
        <v>0</v>
      </c>
      <c r="H277" s="414">
        <f t="shared" si="62"/>
        <v>0.07865757734661773</v>
      </c>
      <c r="I277" s="414">
        <f t="shared" si="62"/>
        <v>1</v>
      </c>
      <c r="J277" s="414">
        <f t="shared" si="62"/>
        <v>0.8330279857681483</v>
      </c>
      <c r="K277" s="414">
        <f t="shared" si="62"/>
        <v>0.002578586284912124</v>
      </c>
      <c r="L277" s="414">
        <f t="shared" si="62"/>
        <v>0.03939470673194155</v>
      </c>
      <c r="M277" s="425"/>
      <c r="N277" s="493"/>
      <c r="O277" s="493"/>
      <c r="P277" s="493"/>
    </row>
    <row r="278" spans="1:16" ht="17.25" hidden="1">
      <c r="A278" s="1515" t="s">
        <v>500</v>
      </c>
      <c r="B278" s="1515"/>
      <c r="C278" s="409">
        <f>C261-C264-C265-C266</f>
        <v>0</v>
      </c>
      <c r="D278" s="409">
        <f aca="true" t="shared" si="63" ref="D278:L278">D261-D264-D265-D266</f>
        <v>0</v>
      </c>
      <c r="E278" s="409">
        <f t="shared" si="63"/>
        <v>0</v>
      </c>
      <c r="F278" s="409">
        <f t="shared" si="63"/>
        <v>0</v>
      </c>
      <c r="G278" s="409">
        <f t="shared" si="63"/>
        <v>0</v>
      </c>
      <c r="H278" s="409">
        <f t="shared" si="63"/>
        <v>0</v>
      </c>
      <c r="I278" s="409">
        <f t="shared" si="63"/>
        <v>0</v>
      </c>
      <c r="J278" s="409">
        <f t="shared" si="63"/>
        <v>0</v>
      </c>
      <c r="K278" s="409">
        <f t="shared" si="63"/>
        <v>0</v>
      </c>
      <c r="L278" s="409">
        <f t="shared" si="63"/>
        <v>0</v>
      </c>
      <c r="M278" s="425"/>
      <c r="N278" s="493"/>
      <c r="O278" s="493"/>
      <c r="P278" s="493"/>
    </row>
    <row r="279" spans="1:16" ht="17.25" hidden="1">
      <c r="A279" s="1516" t="s">
        <v>501</v>
      </c>
      <c r="B279" s="1516"/>
      <c r="C279" s="409">
        <f>C266-C267-C276</f>
        <v>0</v>
      </c>
      <c r="D279" s="409">
        <f aca="true" t="shared" si="64" ref="D279:L279">D266-D267-D276</f>
        <v>0</v>
      </c>
      <c r="E279" s="409">
        <f t="shared" si="64"/>
        <v>0</v>
      </c>
      <c r="F279" s="409">
        <f t="shared" si="64"/>
        <v>0</v>
      </c>
      <c r="G279" s="409">
        <f t="shared" si="64"/>
        <v>0</v>
      </c>
      <c r="H279" s="409">
        <f t="shared" si="64"/>
        <v>0</v>
      </c>
      <c r="I279" s="409">
        <f t="shared" si="64"/>
        <v>0</v>
      </c>
      <c r="J279" s="409">
        <f t="shared" si="64"/>
        <v>0</v>
      </c>
      <c r="K279" s="409">
        <f t="shared" si="64"/>
        <v>0</v>
      </c>
      <c r="L279" s="409">
        <f t="shared" si="64"/>
        <v>0</v>
      </c>
      <c r="M279" s="425"/>
      <c r="N279" s="493"/>
      <c r="O279" s="493"/>
      <c r="P279" s="493"/>
    </row>
    <row r="280" spans="1:16" ht="18.75" hidden="1">
      <c r="A280" s="478"/>
      <c r="B280" s="494" t="s">
        <v>520</v>
      </c>
      <c r="C280" s="494"/>
      <c r="D280" s="466"/>
      <c r="E280" s="466"/>
      <c r="F280" s="466"/>
      <c r="G280" s="1518" t="s">
        <v>520</v>
      </c>
      <c r="H280" s="1518"/>
      <c r="I280" s="1518"/>
      <c r="J280" s="1518"/>
      <c r="K280" s="1518"/>
      <c r="L280" s="1518"/>
      <c r="M280" s="481"/>
      <c r="N280" s="481"/>
      <c r="O280" s="481"/>
      <c r="P280" s="481"/>
    </row>
    <row r="281" spans="1:16" ht="18.75" hidden="1">
      <c r="A281" s="1551" t="s">
        <v>4</v>
      </c>
      <c r="B281" s="1551"/>
      <c r="C281" s="1551"/>
      <c r="D281" s="1551"/>
      <c r="E281" s="466"/>
      <c r="F281" s="466"/>
      <c r="G281" s="495"/>
      <c r="H281" s="1552" t="s">
        <v>521</v>
      </c>
      <c r="I281" s="1552"/>
      <c r="J281" s="1552"/>
      <c r="K281" s="1552"/>
      <c r="L281" s="1552"/>
      <c r="M281" s="481"/>
      <c r="N281" s="481"/>
      <c r="O281" s="481"/>
      <c r="P281" s="481"/>
    </row>
    <row r="282" ht="15" hidden="1"/>
    <row r="283" ht="15" hidden="1"/>
    <row r="284" ht="15" hidden="1"/>
    <row r="285" ht="15" hidden="1"/>
    <row r="286" ht="15" hidden="1"/>
    <row r="287" ht="15" hidden="1"/>
    <row r="288" ht="15" hidden="1"/>
    <row r="289" ht="15" hidden="1"/>
    <row r="290" ht="15" hidden="1"/>
    <row r="291" ht="15" hidden="1"/>
    <row r="292" ht="15" hidden="1"/>
    <row r="293" spans="1:13" ht="16.5" hidden="1">
      <c r="A293" s="1540" t="s">
        <v>33</v>
      </c>
      <c r="B293" s="1541"/>
      <c r="C293" s="477"/>
      <c r="D293" s="1532" t="s">
        <v>79</v>
      </c>
      <c r="E293" s="1532"/>
      <c r="F293" s="1532"/>
      <c r="G293" s="1532"/>
      <c r="H293" s="1532"/>
      <c r="I293" s="1532"/>
      <c r="J293" s="1532"/>
      <c r="K293" s="1542"/>
      <c r="L293" s="1542"/>
      <c r="M293" s="481"/>
    </row>
    <row r="294" spans="1:13" ht="16.5" hidden="1">
      <c r="A294" s="1495" t="s">
        <v>344</v>
      </c>
      <c r="B294" s="1495"/>
      <c r="C294" s="1495"/>
      <c r="D294" s="1532" t="s">
        <v>216</v>
      </c>
      <c r="E294" s="1532"/>
      <c r="F294" s="1532"/>
      <c r="G294" s="1532"/>
      <c r="H294" s="1532"/>
      <c r="I294" s="1532"/>
      <c r="J294" s="1532"/>
      <c r="K294" s="1539" t="s">
        <v>513</v>
      </c>
      <c r="L294" s="1539"/>
      <c r="M294" s="478"/>
    </row>
    <row r="295" spans="1:13" ht="16.5" hidden="1">
      <c r="A295" s="1495" t="s">
        <v>345</v>
      </c>
      <c r="B295" s="1495"/>
      <c r="C295" s="415"/>
      <c r="D295" s="1543" t="s">
        <v>11</v>
      </c>
      <c r="E295" s="1543"/>
      <c r="F295" s="1543"/>
      <c r="G295" s="1543"/>
      <c r="H295" s="1543"/>
      <c r="I295" s="1543"/>
      <c r="J295" s="1543"/>
      <c r="K295" s="1542"/>
      <c r="L295" s="1542"/>
      <c r="M295" s="481"/>
    </row>
    <row r="296" spans="1:13" ht="15.75" hidden="1">
      <c r="A296" s="436" t="s">
        <v>119</v>
      </c>
      <c r="B296" s="436"/>
      <c r="C296" s="421"/>
      <c r="D296" s="482"/>
      <c r="E296" s="482"/>
      <c r="F296" s="483"/>
      <c r="G296" s="483"/>
      <c r="H296" s="483"/>
      <c r="I296" s="483"/>
      <c r="J296" s="483"/>
      <c r="K296" s="1544"/>
      <c r="L296" s="1544"/>
      <c r="M296" s="478"/>
    </row>
    <row r="297" spans="1:13" ht="15.75" hidden="1">
      <c r="A297" s="482"/>
      <c r="B297" s="482" t="s">
        <v>94</v>
      </c>
      <c r="C297" s="482"/>
      <c r="D297" s="482"/>
      <c r="E297" s="482"/>
      <c r="F297" s="482"/>
      <c r="G297" s="482"/>
      <c r="H297" s="482"/>
      <c r="I297" s="482"/>
      <c r="J297" s="482"/>
      <c r="K297" s="1534"/>
      <c r="L297" s="1534"/>
      <c r="M297" s="478"/>
    </row>
    <row r="298" spans="1:13" ht="15.75" hidden="1">
      <c r="A298" s="1143" t="s">
        <v>71</v>
      </c>
      <c r="B298" s="1144"/>
      <c r="C298" s="1509" t="s">
        <v>38</v>
      </c>
      <c r="D298" s="1519" t="s">
        <v>339</v>
      </c>
      <c r="E298" s="1519"/>
      <c r="F298" s="1519"/>
      <c r="G298" s="1519"/>
      <c r="H298" s="1519"/>
      <c r="I298" s="1519"/>
      <c r="J298" s="1519"/>
      <c r="K298" s="1519"/>
      <c r="L298" s="1519"/>
      <c r="M298" s="481"/>
    </row>
    <row r="299" spans="1:13" ht="15.75" hidden="1">
      <c r="A299" s="1145"/>
      <c r="B299" s="1146"/>
      <c r="C299" s="1509"/>
      <c r="D299" s="1545" t="s">
        <v>207</v>
      </c>
      <c r="E299" s="1546"/>
      <c r="F299" s="1546"/>
      <c r="G299" s="1546"/>
      <c r="H299" s="1546"/>
      <c r="I299" s="1546"/>
      <c r="J299" s="1547"/>
      <c r="K299" s="1548" t="s">
        <v>208</v>
      </c>
      <c r="L299" s="1548" t="s">
        <v>209</v>
      </c>
      <c r="M299" s="478"/>
    </row>
    <row r="300" spans="1:13" ht="15.75" hidden="1">
      <c r="A300" s="1145"/>
      <c r="B300" s="1146"/>
      <c r="C300" s="1509"/>
      <c r="D300" s="1555" t="s">
        <v>37</v>
      </c>
      <c r="E300" s="1556" t="s">
        <v>7</v>
      </c>
      <c r="F300" s="1557"/>
      <c r="G300" s="1557"/>
      <c r="H300" s="1557"/>
      <c r="I300" s="1557"/>
      <c r="J300" s="1558"/>
      <c r="K300" s="1549"/>
      <c r="L300" s="1553"/>
      <c r="M300" s="478"/>
    </row>
    <row r="301" spans="1:16" ht="15.75" hidden="1">
      <c r="A301" s="1513"/>
      <c r="B301" s="1514"/>
      <c r="C301" s="1509"/>
      <c r="D301" s="1555"/>
      <c r="E301" s="484" t="s">
        <v>210</v>
      </c>
      <c r="F301" s="484" t="s">
        <v>211</v>
      </c>
      <c r="G301" s="484" t="s">
        <v>212</v>
      </c>
      <c r="H301" s="484" t="s">
        <v>213</v>
      </c>
      <c r="I301" s="484" t="s">
        <v>346</v>
      </c>
      <c r="J301" s="484" t="s">
        <v>214</v>
      </c>
      <c r="K301" s="1550"/>
      <c r="L301" s="1554"/>
      <c r="M301" s="1507" t="s">
        <v>502</v>
      </c>
      <c r="N301" s="1507"/>
      <c r="O301" s="1507"/>
      <c r="P301" s="1507"/>
    </row>
    <row r="302" spans="1:16" ht="15" hidden="1">
      <c r="A302" s="1511" t="s">
        <v>6</v>
      </c>
      <c r="B302" s="1512"/>
      <c r="C302" s="485">
        <v>1</v>
      </c>
      <c r="D302" s="486">
        <v>2</v>
      </c>
      <c r="E302" s="485">
        <v>3</v>
      </c>
      <c r="F302" s="486">
        <v>4</v>
      </c>
      <c r="G302" s="485">
        <v>5</v>
      </c>
      <c r="H302" s="486">
        <v>6</v>
      </c>
      <c r="I302" s="485">
        <v>7</v>
      </c>
      <c r="J302" s="486">
        <v>8</v>
      </c>
      <c r="K302" s="485">
        <v>9</v>
      </c>
      <c r="L302" s="486">
        <v>10</v>
      </c>
      <c r="M302" s="487" t="s">
        <v>503</v>
      </c>
      <c r="N302" s="488" t="s">
        <v>506</v>
      </c>
      <c r="O302" s="488" t="s">
        <v>504</v>
      </c>
      <c r="P302" s="488" t="s">
        <v>505</v>
      </c>
    </row>
    <row r="303" spans="1:16" ht="24.75" customHeight="1" hidden="1">
      <c r="A303" s="428" t="s">
        <v>0</v>
      </c>
      <c r="B303" s="429" t="s">
        <v>131</v>
      </c>
      <c r="C303" s="404">
        <f>C304+C305</f>
        <v>394761</v>
      </c>
      <c r="D303" s="404">
        <f aca="true" t="shared" si="65" ref="D303:L303">D304+D305</f>
        <v>89648</v>
      </c>
      <c r="E303" s="404">
        <f t="shared" si="65"/>
        <v>48513</v>
      </c>
      <c r="F303" s="404">
        <f t="shared" si="65"/>
        <v>0</v>
      </c>
      <c r="G303" s="404">
        <f t="shared" si="65"/>
        <v>34900</v>
      </c>
      <c r="H303" s="404">
        <f t="shared" si="65"/>
        <v>200</v>
      </c>
      <c r="I303" s="404">
        <f t="shared" si="65"/>
        <v>0</v>
      </c>
      <c r="J303" s="404">
        <f t="shared" si="65"/>
        <v>6035</v>
      </c>
      <c r="K303" s="404">
        <f t="shared" si="65"/>
        <v>0</v>
      </c>
      <c r="L303" s="404">
        <f t="shared" si="65"/>
        <v>305113</v>
      </c>
      <c r="M303" s="404" t="e">
        <f>'03'!#REF!+'04'!#REF!</f>
        <v>#REF!</v>
      </c>
      <c r="N303" s="404" t="e">
        <f>C303-M303</f>
        <v>#REF!</v>
      </c>
      <c r="O303" s="404" t="e">
        <f>'07'!#REF!</f>
        <v>#REF!</v>
      </c>
      <c r="P303" s="404" t="e">
        <f>C303-O303</f>
        <v>#REF!</v>
      </c>
    </row>
    <row r="304" spans="1:16" ht="24.75" customHeight="1" hidden="1">
      <c r="A304" s="431">
        <v>1</v>
      </c>
      <c r="B304" s="432" t="s">
        <v>132</v>
      </c>
      <c r="C304" s="404">
        <f>D304+K304+L304</f>
        <v>139828</v>
      </c>
      <c r="D304" s="404">
        <f>E304+F304+G304+H304+I304+J304</f>
        <v>48342</v>
      </c>
      <c r="E304" s="409">
        <v>28442</v>
      </c>
      <c r="F304" s="409"/>
      <c r="G304" s="409">
        <v>19900</v>
      </c>
      <c r="H304" s="409"/>
      <c r="I304" s="409"/>
      <c r="J304" s="409"/>
      <c r="K304" s="409"/>
      <c r="L304" s="409">
        <v>91486</v>
      </c>
      <c r="M304" s="409" t="e">
        <f>'03'!#REF!+'04'!#REF!</f>
        <v>#REF!</v>
      </c>
      <c r="N304" s="409" t="e">
        <f aca="true" t="shared" si="66" ref="N304:N318">C304-M304</f>
        <v>#REF!</v>
      </c>
      <c r="O304" s="409" t="e">
        <f>'07'!#REF!</f>
        <v>#REF!</v>
      </c>
      <c r="P304" s="409" t="e">
        <f aca="true" t="shared" si="67" ref="P304:P318">C304-O304</f>
        <v>#REF!</v>
      </c>
    </row>
    <row r="305" spans="1:16" ht="24.75" customHeight="1" hidden="1">
      <c r="A305" s="431">
        <v>2</v>
      </c>
      <c r="B305" s="432" t="s">
        <v>133</v>
      </c>
      <c r="C305" s="404">
        <f>D305+K305+L305</f>
        <v>254933</v>
      </c>
      <c r="D305" s="404">
        <f>E305+F305+G305+H305+I305+J305</f>
        <v>41306</v>
      </c>
      <c r="E305" s="409">
        <v>20071</v>
      </c>
      <c r="F305" s="409">
        <v>0</v>
      </c>
      <c r="G305" s="409">
        <v>15000</v>
      </c>
      <c r="H305" s="409">
        <v>200</v>
      </c>
      <c r="I305" s="409">
        <v>0</v>
      </c>
      <c r="J305" s="409">
        <v>6035</v>
      </c>
      <c r="K305" s="409">
        <v>0</v>
      </c>
      <c r="L305" s="409">
        <v>213627</v>
      </c>
      <c r="M305" s="409" t="e">
        <f>'03'!#REF!+'04'!#REF!</f>
        <v>#REF!</v>
      </c>
      <c r="N305" s="409" t="e">
        <f t="shared" si="66"/>
        <v>#REF!</v>
      </c>
      <c r="O305" s="409" t="e">
        <f>'07'!#REF!</f>
        <v>#REF!</v>
      </c>
      <c r="P305" s="409" t="e">
        <f t="shared" si="67"/>
        <v>#REF!</v>
      </c>
    </row>
    <row r="306" spans="1:16" ht="24.75" customHeight="1" hidden="1">
      <c r="A306" s="394" t="s">
        <v>1</v>
      </c>
      <c r="B306" s="395" t="s">
        <v>134</v>
      </c>
      <c r="C306" s="404">
        <f>D306+K306+L306</f>
        <v>0</v>
      </c>
      <c r="D306" s="404">
        <f>E306+F306+G306+H306+I306+J306</f>
        <v>0</v>
      </c>
      <c r="E306" s="409">
        <v>0</v>
      </c>
      <c r="F306" s="409">
        <v>0</v>
      </c>
      <c r="G306" s="409">
        <v>0</v>
      </c>
      <c r="H306" s="409">
        <v>0</v>
      </c>
      <c r="I306" s="409">
        <v>0</v>
      </c>
      <c r="J306" s="409">
        <v>0</v>
      </c>
      <c r="K306" s="409">
        <v>0</v>
      </c>
      <c r="L306" s="409">
        <v>0</v>
      </c>
      <c r="M306" s="409" t="e">
        <f>'03'!#REF!+'04'!#REF!</f>
        <v>#REF!</v>
      </c>
      <c r="N306" s="409" t="e">
        <f t="shared" si="66"/>
        <v>#REF!</v>
      </c>
      <c r="O306" s="409" t="e">
        <f>'07'!#REF!</f>
        <v>#REF!</v>
      </c>
      <c r="P306" s="409" t="e">
        <f t="shared" si="67"/>
        <v>#REF!</v>
      </c>
    </row>
    <row r="307" spans="1:16" ht="24.75" customHeight="1" hidden="1">
      <c r="A307" s="394" t="s">
        <v>9</v>
      </c>
      <c r="B307" s="395" t="s">
        <v>135</v>
      </c>
      <c r="C307" s="404">
        <f>D307+K307+L307</f>
        <v>0</v>
      </c>
      <c r="D307" s="404">
        <f>E307+F307+G307+H307+I307+J307</f>
        <v>0</v>
      </c>
      <c r="E307" s="409">
        <v>0</v>
      </c>
      <c r="F307" s="409">
        <v>0</v>
      </c>
      <c r="G307" s="409">
        <v>0</v>
      </c>
      <c r="H307" s="409">
        <v>0</v>
      </c>
      <c r="I307" s="409">
        <v>0</v>
      </c>
      <c r="J307" s="409">
        <v>0</v>
      </c>
      <c r="K307" s="409">
        <v>0</v>
      </c>
      <c r="L307" s="409">
        <v>0</v>
      </c>
      <c r="M307" s="409" t="e">
        <f>'03'!#REF!+'04'!#REF!</f>
        <v>#REF!</v>
      </c>
      <c r="N307" s="409" t="e">
        <f t="shared" si="66"/>
        <v>#REF!</v>
      </c>
      <c r="O307" s="409" t="e">
        <f>'07'!#REF!</f>
        <v>#REF!</v>
      </c>
      <c r="P307" s="409" t="e">
        <f t="shared" si="67"/>
        <v>#REF!</v>
      </c>
    </row>
    <row r="308" spans="1:16" ht="24.75" customHeight="1" hidden="1">
      <c r="A308" s="394" t="s">
        <v>136</v>
      </c>
      <c r="B308" s="395" t="s">
        <v>137</v>
      </c>
      <c r="C308" s="404">
        <f>C309+C318</f>
        <v>394761</v>
      </c>
      <c r="D308" s="404">
        <f aca="true" t="shared" si="68" ref="D308:L308">D309+D318</f>
        <v>89648</v>
      </c>
      <c r="E308" s="404">
        <f t="shared" si="68"/>
        <v>48513</v>
      </c>
      <c r="F308" s="404">
        <f t="shared" si="68"/>
        <v>0</v>
      </c>
      <c r="G308" s="404">
        <f t="shared" si="68"/>
        <v>34900</v>
      </c>
      <c r="H308" s="404">
        <f t="shared" si="68"/>
        <v>200</v>
      </c>
      <c r="I308" s="404">
        <f t="shared" si="68"/>
        <v>0</v>
      </c>
      <c r="J308" s="404">
        <f t="shared" si="68"/>
        <v>6035</v>
      </c>
      <c r="K308" s="404">
        <f t="shared" si="68"/>
        <v>0</v>
      </c>
      <c r="L308" s="404">
        <f t="shared" si="68"/>
        <v>305113</v>
      </c>
      <c r="M308" s="404" t="e">
        <f>'03'!#REF!+'04'!#REF!</f>
        <v>#REF!</v>
      </c>
      <c r="N308" s="404" t="e">
        <f t="shared" si="66"/>
        <v>#REF!</v>
      </c>
      <c r="O308" s="404" t="e">
        <f>'07'!#REF!</f>
        <v>#REF!</v>
      </c>
      <c r="P308" s="404" t="e">
        <f t="shared" si="67"/>
        <v>#REF!</v>
      </c>
    </row>
    <row r="309" spans="1:16" ht="24.75" customHeight="1" hidden="1">
      <c r="A309" s="394" t="s">
        <v>52</v>
      </c>
      <c r="B309" s="433" t="s">
        <v>138</v>
      </c>
      <c r="C309" s="404">
        <f>SUM(C310:C317)</f>
        <v>346419</v>
      </c>
      <c r="D309" s="404">
        <f aca="true" t="shared" si="69" ref="D309:L309">SUM(D310:D317)</f>
        <v>41306</v>
      </c>
      <c r="E309" s="404">
        <f t="shared" si="69"/>
        <v>20071</v>
      </c>
      <c r="F309" s="404">
        <f t="shared" si="69"/>
        <v>0</v>
      </c>
      <c r="G309" s="404">
        <f t="shared" si="69"/>
        <v>15000</v>
      </c>
      <c r="H309" s="404">
        <f t="shared" si="69"/>
        <v>200</v>
      </c>
      <c r="I309" s="404">
        <f t="shared" si="69"/>
        <v>0</v>
      </c>
      <c r="J309" s="404">
        <f t="shared" si="69"/>
        <v>6035</v>
      </c>
      <c r="K309" s="404">
        <f t="shared" si="69"/>
        <v>0</v>
      </c>
      <c r="L309" s="404">
        <f t="shared" si="69"/>
        <v>305113</v>
      </c>
      <c r="M309" s="404" t="e">
        <f>'03'!#REF!+'04'!#REF!</f>
        <v>#REF!</v>
      </c>
      <c r="N309" s="404" t="e">
        <f t="shared" si="66"/>
        <v>#REF!</v>
      </c>
      <c r="O309" s="404" t="e">
        <f>'07'!#REF!</f>
        <v>#REF!</v>
      </c>
      <c r="P309" s="404" t="e">
        <f t="shared" si="67"/>
        <v>#REF!</v>
      </c>
    </row>
    <row r="310" spans="1:16" ht="24.75" customHeight="1" hidden="1">
      <c r="A310" s="431" t="s">
        <v>54</v>
      </c>
      <c r="B310" s="432" t="s">
        <v>139</v>
      </c>
      <c r="C310" s="404">
        <f aca="true" t="shared" si="70" ref="C310:C318">D310+K310+L310</f>
        <v>110738</v>
      </c>
      <c r="D310" s="404">
        <f aca="true" t="shared" si="71" ref="D310:D318">E310+F310+G310+H310+I310+J310</f>
        <v>31691</v>
      </c>
      <c r="E310" s="409">
        <v>12757</v>
      </c>
      <c r="F310" s="409">
        <v>0</v>
      </c>
      <c r="G310" s="409">
        <v>13000</v>
      </c>
      <c r="H310" s="409">
        <v>200</v>
      </c>
      <c r="I310" s="409">
        <v>0</v>
      </c>
      <c r="J310" s="409">
        <v>5734</v>
      </c>
      <c r="K310" s="409">
        <v>0</v>
      </c>
      <c r="L310" s="409">
        <v>79047</v>
      </c>
      <c r="M310" s="409" t="e">
        <f>'03'!#REF!+'04'!#REF!</f>
        <v>#REF!</v>
      </c>
      <c r="N310" s="409" t="e">
        <f t="shared" si="66"/>
        <v>#REF!</v>
      </c>
      <c r="O310" s="409" t="e">
        <f>'07'!#REF!</f>
        <v>#REF!</v>
      </c>
      <c r="P310" s="409" t="e">
        <f t="shared" si="67"/>
        <v>#REF!</v>
      </c>
    </row>
    <row r="311" spans="1:16" ht="24.75" customHeight="1" hidden="1">
      <c r="A311" s="431" t="s">
        <v>55</v>
      </c>
      <c r="B311" s="432" t="s">
        <v>140</v>
      </c>
      <c r="C311" s="404">
        <f t="shared" si="70"/>
        <v>0</v>
      </c>
      <c r="D311" s="404">
        <f t="shared" si="71"/>
        <v>0</v>
      </c>
      <c r="E311" s="409">
        <v>0</v>
      </c>
      <c r="F311" s="409">
        <v>0</v>
      </c>
      <c r="G311" s="409">
        <v>0</v>
      </c>
      <c r="H311" s="409">
        <v>0</v>
      </c>
      <c r="I311" s="409">
        <v>0</v>
      </c>
      <c r="J311" s="409">
        <v>0</v>
      </c>
      <c r="K311" s="409">
        <v>0</v>
      </c>
      <c r="L311" s="409">
        <v>0</v>
      </c>
      <c r="M311" s="409" t="e">
        <f>'03'!#REF!+'04'!#REF!</f>
        <v>#REF!</v>
      </c>
      <c r="N311" s="409" t="e">
        <f t="shared" si="66"/>
        <v>#REF!</v>
      </c>
      <c r="O311" s="409" t="e">
        <f>'07'!#REF!</f>
        <v>#REF!</v>
      </c>
      <c r="P311" s="409" t="e">
        <f t="shared" si="67"/>
        <v>#REF!</v>
      </c>
    </row>
    <row r="312" spans="1:16" ht="24.75" customHeight="1" hidden="1">
      <c r="A312" s="431" t="s">
        <v>141</v>
      </c>
      <c r="B312" s="432" t="s">
        <v>202</v>
      </c>
      <c r="C312" s="404">
        <f t="shared" si="70"/>
        <v>0</v>
      </c>
      <c r="D312" s="404">
        <f t="shared" si="71"/>
        <v>0</v>
      </c>
      <c r="E312" s="409">
        <v>0</v>
      </c>
      <c r="F312" s="409">
        <v>0</v>
      </c>
      <c r="G312" s="409">
        <v>0</v>
      </c>
      <c r="H312" s="409">
        <v>0</v>
      </c>
      <c r="I312" s="409">
        <v>0</v>
      </c>
      <c r="J312" s="409">
        <v>0</v>
      </c>
      <c r="K312" s="409">
        <v>0</v>
      </c>
      <c r="L312" s="409">
        <v>0</v>
      </c>
      <c r="M312" s="409" t="e">
        <f>'03'!#REF!</f>
        <v>#REF!</v>
      </c>
      <c r="N312" s="409" t="e">
        <f t="shared" si="66"/>
        <v>#REF!</v>
      </c>
      <c r="O312" s="409" t="e">
        <f>'07'!#REF!</f>
        <v>#REF!</v>
      </c>
      <c r="P312" s="409" t="e">
        <f t="shared" si="67"/>
        <v>#REF!</v>
      </c>
    </row>
    <row r="313" spans="1:16" ht="24.75" customHeight="1" hidden="1">
      <c r="A313" s="431" t="s">
        <v>143</v>
      </c>
      <c r="B313" s="432" t="s">
        <v>142</v>
      </c>
      <c r="C313" s="404">
        <f t="shared" si="70"/>
        <v>165795</v>
      </c>
      <c r="D313" s="404">
        <f t="shared" si="71"/>
        <v>9615</v>
      </c>
      <c r="E313" s="409">
        <v>7314</v>
      </c>
      <c r="F313" s="409">
        <v>0</v>
      </c>
      <c r="G313" s="409">
        <v>2000</v>
      </c>
      <c r="H313" s="409">
        <v>0</v>
      </c>
      <c r="I313" s="409">
        <v>0</v>
      </c>
      <c r="J313" s="409">
        <v>301</v>
      </c>
      <c r="K313" s="409">
        <v>0</v>
      </c>
      <c r="L313" s="409">
        <v>156180</v>
      </c>
      <c r="M313" s="409" t="e">
        <f>'03'!#REF!+'04'!#REF!</f>
        <v>#REF!</v>
      </c>
      <c r="N313" s="409" t="e">
        <f t="shared" si="66"/>
        <v>#REF!</v>
      </c>
      <c r="O313" s="409" t="e">
        <f>'07'!#REF!</f>
        <v>#REF!</v>
      </c>
      <c r="P313" s="409" t="e">
        <f t="shared" si="67"/>
        <v>#REF!</v>
      </c>
    </row>
    <row r="314" spans="1:16" ht="24.75" customHeight="1" hidden="1">
      <c r="A314" s="431" t="s">
        <v>145</v>
      </c>
      <c r="B314" s="432" t="s">
        <v>144</v>
      </c>
      <c r="C314" s="404">
        <f t="shared" si="70"/>
        <v>69886</v>
      </c>
      <c r="D314" s="404">
        <f t="shared" si="71"/>
        <v>0</v>
      </c>
      <c r="E314" s="409">
        <v>0</v>
      </c>
      <c r="F314" s="409">
        <v>0</v>
      </c>
      <c r="G314" s="409">
        <v>0</v>
      </c>
      <c r="H314" s="409">
        <v>0</v>
      </c>
      <c r="I314" s="409">
        <v>0</v>
      </c>
      <c r="J314" s="409">
        <v>0</v>
      </c>
      <c r="K314" s="409">
        <v>0</v>
      </c>
      <c r="L314" s="409">
        <v>69886</v>
      </c>
      <c r="M314" s="409" t="e">
        <f>'03'!#REF!+'04'!#REF!</f>
        <v>#REF!</v>
      </c>
      <c r="N314" s="409" t="e">
        <f t="shared" si="66"/>
        <v>#REF!</v>
      </c>
      <c r="O314" s="409" t="e">
        <f>'07'!#REF!</f>
        <v>#REF!</v>
      </c>
      <c r="P314" s="409" t="e">
        <f t="shared" si="67"/>
        <v>#REF!</v>
      </c>
    </row>
    <row r="315" spans="1:16" ht="24.75" customHeight="1" hidden="1">
      <c r="A315" s="431" t="s">
        <v>147</v>
      </c>
      <c r="B315" s="432" t="s">
        <v>146</v>
      </c>
      <c r="C315" s="404">
        <f t="shared" si="70"/>
        <v>0</v>
      </c>
      <c r="D315" s="404">
        <f t="shared" si="71"/>
        <v>0</v>
      </c>
      <c r="E315" s="409">
        <v>0</v>
      </c>
      <c r="F315" s="409">
        <v>0</v>
      </c>
      <c r="G315" s="409">
        <v>0</v>
      </c>
      <c r="H315" s="409">
        <v>0</v>
      </c>
      <c r="I315" s="409">
        <v>0</v>
      </c>
      <c r="J315" s="409">
        <v>0</v>
      </c>
      <c r="K315" s="409">
        <v>0</v>
      </c>
      <c r="L315" s="409">
        <v>0</v>
      </c>
      <c r="M315" s="409" t="e">
        <f>'03'!#REF!+'04'!#REF!</f>
        <v>#REF!</v>
      </c>
      <c r="N315" s="409" t="e">
        <f t="shared" si="66"/>
        <v>#REF!</v>
      </c>
      <c r="O315" s="409" t="e">
        <f>'07'!#REF!</f>
        <v>#REF!</v>
      </c>
      <c r="P315" s="409" t="e">
        <f t="shared" si="67"/>
        <v>#REF!</v>
      </c>
    </row>
    <row r="316" spans="1:16" ht="24.75" customHeight="1" hidden="1">
      <c r="A316" s="431" t="s">
        <v>149</v>
      </c>
      <c r="B316" s="434" t="s">
        <v>148</v>
      </c>
      <c r="C316" s="404">
        <f t="shared" si="70"/>
        <v>0</v>
      </c>
      <c r="D316" s="404">
        <f t="shared" si="71"/>
        <v>0</v>
      </c>
      <c r="E316" s="409">
        <v>0</v>
      </c>
      <c r="F316" s="409">
        <v>0</v>
      </c>
      <c r="G316" s="409">
        <v>0</v>
      </c>
      <c r="H316" s="409">
        <v>0</v>
      </c>
      <c r="I316" s="409">
        <v>0</v>
      </c>
      <c r="J316" s="409">
        <v>0</v>
      </c>
      <c r="K316" s="409">
        <v>0</v>
      </c>
      <c r="L316" s="409">
        <v>0</v>
      </c>
      <c r="M316" s="409" t="e">
        <f>'03'!#REF!+'04'!#REF!</f>
        <v>#REF!</v>
      </c>
      <c r="N316" s="409" t="e">
        <f t="shared" si="66"/>
        <v>#REF!</v>
      </c>
      <c r="O316" s="409" t="e">
        <f>'07'!#REF!</f>
        <v>#REF!</v>
      </c>
      <c r="P316" s="409" t="e">
        <f t="shared" si="67"/>
        <v>#REF!</v>
      </c>
    </row>
    <row r="317" spans="1:16" ht="24.75" customHeight="1" hidden="1">
      <c r="A317" s="431" t="s">
        <v>186</v>
      </c>
      <c r="B317" s="432" t="s">
        <v>150</v>
      </c>
      <c r="C317" s="404">
        <f t="shared" si="70"/>
        <v>0</v>
      </c>
      <c r="D317" s="404">
        <f t="shared" si="71"/>
        <v>0</v>
      </c>
      <c r="E317" s="409">
        <v>0</v>
      </c>
      <c r="F317" s="409">
        <v>0</v>
      </c>
      <c r="G317" s="409">
        <v>0</v>
      </c>
      <c r="H317" s="409">
        <v>0</v>
      </c>
      <c r="I317" s="409">
        <v>0</v>
      </c>
      <c r="J317" s="409">
        <v>0</v>
      </c>
      <c r="K317" s="409">
        <v>0</v>
      </c>
      <c r="L317" s="409">
        <v>0</v>
      </c>
      <c r="M317" s="409" t="e">
        <f>'03'!#REF!+'04'!#REF!</f>
        <v>#REF!</v>
      </c>
      <c r="N317" s="409" t="e">
        <f t="shared" si="66"/>
        <v>#REF!</v>
      </c>
      <c r="O317" s="409" t="e">
        <f>'07'!#REF!</f>
        <v>#REF!</v>
      </c>
      <c r="P317" s="409" t="e">
        <f t="shared" si="67"/>
        <v>#REF!</v>
      </c>
    </row>
    <row r="318" spans="1:16" ht="24.75" customHeight="1" hidden="1">
      <c r="A318" s="394" t="s">
        <v>53</v>
      </c>
      <c r="B318" s="395" t="s">
        <v>151</v>
      </c>
      <c r="C318" s="404">
        <f t="shared" si="70"/>
        <v>48342</v>
      </c>
      <c r="D318" s="404">
        <f t="shared" si="71"/>
        <v>48342</v>
      </c>
      <c r="E318" s="409">
        <v>28442</v>
      </c>
      <c r="F318" s="409">
        <v>0</v>
      </c>
      <c r="G318" s="409">
        <v>19900</v>
      </c>
      <c r="H318" s="409">
        <v>0</v>
      </c>
      <c r="I318" s="409">
        <v>0</v>
      </c>
      <c r="J318" s="409">
        <v>0</v>
      </c>
      <c r="K318" s="409">
        <v>0</v>
      </c>
      <c r="L318" s="409">
        <v>0</v>
      </c>
      <c r="M318" s="404" t="e">
        <f>'03'!#REF!+'04'!#REF!</f>
        <v>#REF!</v>
      </c>
      <c r="N318" s="404" t="e">
        <f t="shared" si="66"/>
        <v>#REF!</v>
      </c>
      <c r="O318" s="404" t="e">
        <f>'07'!#REF!</f>
        <v>#REF!</v>
      </c>
      <c r="P318" s="404" t="e">
        <f t="shared" si="67"/>
        <v>#REF!</v>
      </c>
    </row>
    <row r="319" spans="1:16" ht="24.75" customHeight="1" hidden="1">
      <c r="A319" s="463" t="s">
        <v>76</v>
      </c>
      <c r="B319" s="492" t="s">
        <v>215</v>
      </c>
      <c r="C319" s="476">
        <f>(C310+C311+C312)/C309</f>
        <v>0.3196649144533065</v>
      </c>
      <c r="D319" s="396">
        <f aca="true" t="shared" si="72" ref="D319:L319">(D310+D311+D312)/D309</f>
        <v>0.7672251004696654</v>
      </c>
      <c r="E319" s="414">
        <f t="shared" si="72"/>
        <v>0.6355936425688805</v>
      </c>
      <c r="F319" s="414" t="e">
        <f t="shared" si="72"/>
        <v>#DIV/0!</v>
      </c>
      <c r="G319" s="414">
        <f t="shared" si="72"/>
        <v>0.8666666666666667</v>
      </c>
      <c r="H319" s="414">
        <f t="shared" si="72"/>
        <v>1</v>
      </c>
      <c r="I319" s="414" t="e">
        <f t="shared" si="72"/>
        <v>#DIV/0!</v>
      </c>
      <c r="J319" s="414">
        <f t="shared" si="72"/>
        <v>0.9501242750621375</v>
      </c>
      <c r="K319" s="414" t="e">
        <f t="shared" si="72"/>
        <v>#DIV/0!</v>
      </c>
      <c r="L319" s="414">
        <f t="shared" si="72"/>
        <v>0.2590745068220626</v>
      </c>
      <c r="M319" s="425"/>
      <c r="N319" s="493"/>
      <c r="O319" s="493"/>
      <c r="P319" s="493"/>
    </row>
    <row r="320" spans="1:16" ht="17.25" hidden="1">
      <c r="A320" s="1515" t="s">
        <v>500</v>
      </c>
      <c r="B320" s="1515"/>
      <c r="C320" s="409">
        <f>C303-C306-C307-C308</f>
        <v>0</v>
      </c>
      <c r="D320" s="409">
        <f aca="true" t="shared" si="73" ref="D320:L320">D303-D306-D307-D308</f>
        <v>0</v>
      </c>
      <c r="E320" s="409">
        <f t="shared" si="73"/>
        <v>0</v>
      </c>
      <c r="F320" s="409">
        <f t="shared" si="73"/>
        <v>0</v>
      </c>
      <c r="G320" s="409">
        <f t="shared" si="73"/>
        <v>0</v>
      </c>
      <c r="H320" s="409">
        <f t="shared" si="73"/>
        <v>0</v>
      </c>
      <c r="I320" s="409">
        <f t="shared" si="73"/>
        <v>0</v>
      </c>
      <c r="J320" s="409">
        <f t="shared" si="73"/>
        <v>0</v>
      </c>
      <c r="K320" s="409">
        <f t="shared" si="73"/>
        <v>0</v>
      </c>
      <c r="L320" s="409">
        <f t="shared" si="73"/>
        <v>0</v>
      </c>
      <c r="M320" s="425"/>
      <c r="N320" s="493"/>
      <c r="O320" s="493"/>
      <c r="P320" s="493"/>
    </row>
    <row r="321" spans="1:16" ht="17.25" hidden="1">
      <c r="A321" s="1516" t="s">
        <v>501</v>
      </c>
      <c r="B321" s="1516"/>
      <c r="C321" s="409">
        <f>C308-C309-C318</f>
        <v>0</v>
      </c>
      <c r="D321" s="409">
        <f aca="true" t="shared" si="74" ref="D321:L321">D308-D309-D318</f>
        <v>0</v>
      </c>
      <c r="E321" s="409">
        <f t="shared" si="74"/>
        <v>0</v>
      </c>
      <c r="F321" s="409">
        <f t="shared" si="74"/>
        <v>0</v>
      </c>
      <c r="G321" s="409">
        <f t="shared" si="74"/>
        <v>0</v>
      </c>
      <c r="H321" s="409">
        <f t="shared" si="74"/>
        <v>0</v>
      </c>
      <c r="I321" s="409">
        <f t="shared" si="74"/>
        <v>0</v>
      </c>
      <c r="J321" s="409">
        <f t="shared" si="74"/>
        <v>0</v>
      </c>
      <c r="K321" s="409">
        <f t="shared" si="74"/>
        <v>0</v>
      </c>
      <c r="L321" s="409">
        <f t="shared" si="74"/>
        <v>0</v>
      </c>
      <c r="M321" s="425"/>
      <c r="N321" s="493"/>
      <c r="O321" s="493"/>
      <c r="P321" s="493"/>
    </row>
    <row r="322" spans="1:16" ht="18.75" hidden="1">
      <c r="A322" s="478"/>
      <c r="B322" s="494" t="s">
        <v>520</v>
      </c>
      <c r="C322" s="494"/>
      <c r="D322" s="466"/>
      <c r="E322" s="466"/>
      <c r="F322" s="466"/>
      <c r="G322" s="1518" t="s">
        <v>520</v>
      </c>
      <c r="H322" s="1518"/>
      <c r="I322" s="1518"/>
      <c r="J322" s="1518"/>
      <c r="K322" s="1518"/>
      <c r="L322" s="1518"/>
      <c r="M322" s="481"/>
      <c r="N322" s="481"/>
      <c r="O322" s="481"/>
      <c r="P322" s="481"/>
    </row>
    <row r="323" spans="1:16" ht="18.75" hidden="1">
      <c r="A323" s="1551" t="s">
        <v>4</v>
      </c>
      <c r="B323" s="1551"/>
      <c r="C323" s="1551"/>
      <c r="D323" s="1551"/>
      <c r="E323" s="466"/>
      <c r="F323" s="466"/>
      <c r="G323" s="495"/>
      <c r="H323" s="1552" t="s">
        <v>521</v>
      </c>
      <c r="I323" s="1552"/>
      <c r="J323" s="1552"/>
      <c r="K323" s="1552"/>
      <c r="L323" s="1552"/>
      <c r="M323" s="481"/>
      <c r="N323" s="481"/>
      <c r="O323" s="481"/>
      <c r="P323" s="481"/>
    </row>
    <row r="324" ht="15" hidden="1"/>
    <row r="325" ht="15" hidden="1"/>
    <row r="326" ht="15" hidden="1"/>
    <row r="327" ht="15" hidden="1"/>
    <row r="328" ht="15" hidden="1"/>
    <row r="329" ht="15" hidden="1"/>
    <row r="330" ht="15" hidden="1"/>
    <row r="331" ht="15" hidden="1"/>
    <row r="332" ht="15" hidden="1"/>
    <row r="333" ht="15" hidden="1"/>
    <row r="334" ht="15" hidden="1"/>
    <row r="335" ht="15" hidden="1"/>
    <row r="336" spans="1:13" ht="16.5" hidden="1">
      <c r="A336" s="1540" t="s">
        <v>33</v>
      </c>
      <c r="B336" s="1541"/>
      <c r="C336" s="477"/>
      <c r="D336" s="1532" t="s">
        <v>79</v>
      </c>
      <c r="E336" s="1532"/>
      <c r="F336" s="1532"/>
      <c r="G336" s="1532"/>
      <c r="H336" s="1532"/>
      <c r="I336" s="1532"/>
      <c r="J336" s="1532"/>
      <c r="K336" s="1542"/>
      <c r="L336" s="1542"/>
      <c r="M336" s="481"/>
    </row>
    <row r="337" spans="1:13" ht="16.5" hidden="1">
      <c r="A337" s="1495" t="s">
        <v>344</v>
      </c>
      <c r="B337" s="1495"/>
      <c r="C337" s="1495"/>
      <c r="D337" s="1532" t="s">
        <v>216</v>
      </c>
      <c r="E337" s="1532"/>
      <c r="F337" s="1532"/>
      <c r="G337" s="1532"/>
      <c r="H337" s="1532"/>
      <c r="I337" s="1532"/>
      <c r="J337" s="1532"/>
      <c r="K337" s="1539" t="s">
        <v>514</v>
      </c>
      <c r="L337" s="1539"/>
      <c r="M337" s="478"/>
    </row>
    <row r="338" spans="1:13" ht="16.5" hidden="1">
      <c r="A338" s="1495" t="s">
        <v>345</v>
      </c>
      <c r="B338" s="1495"/>
      <c r="C338" s="415"/>
      <c r="D338" s="1543" t="s">
        <v>554</v>
      </c>
      <c r="E338" s="1543"/>
      <c r="F338" s="1543"/>
      <c r="G338" s="1543"/>
      <c r="H338" s="1543"/>
      <c r="I338" s="1543"/>
      <c r="J338" s="1543"/>
      <c r="K338" s="1542"/>
      <c r="L338" s="1542"/>
      <c r="M338" s="481"/>
    </row>
    <row r="339" spans="1:13" ht="15.75" hidden="1">
      <c r="A339" s="436" t="s">
        <v>119</v>
      </c>
      <c r="B339" s="436"/>
      <c r="C339" s="421"/>
      <c r="D339" s="482"/>
      <c r="E339" s="482"/>
      <c r="F339" s="483"/>
      <c r="G339" s="483"/>
      <c r="H339" s="483"/>
      <c r="I339" s="483"/>
      <c r="J339" s="483"/>
      <c r="K339" s="1544"/>
      <c r="L339" s="1544"/>
      <c r="M339" s="478"/>
    </row>
    <row r="340" spans="1:13" ht="15.75" hidden="1">
      <c r="A340" s="482"/>
      <c r="B340" s="482" t="s">
        <v>94</v>
      </c>
      <c r="C340" s="482"/>
      <c r="D340" s="482"/>
      <c r="E340" s="482"/>
      <c r="F340" s="482"/>
      <c r="G340" s="482"/>
      <c r="H340" s="482"/>
      <c r="I340" s="482"/>
      <c r="J340" s="482"/>
      <c r="K340" s="1534"/>
      <c r="L340" s="1534"/>
      <c r="M340" s="478"/>
    </row>
    <row r="341" spans="1:13" ht="15.75" hidden="1">
      <c r="A341" s="1143" t="s">
        <v>71</v>
      </c>
      <c r="B341" s="1144"/>
      <c r="C341" s="1509" t="s">
        <v>38</v>
      </c>
      <c r="D341" s="1519" t="s">
        <v>339</v>
      </c>
      <c r="E341" s="1519"/>
      <c r="F341" s="1519"/>
      <c r="G341" s="1519"/>
      <c r="H341" s="1519"/>
      <c r="I341" s="1519"/>
      <c r="J341" s="1519"/>
      <c r="K341" s="1519"/>
      <c r="L341" s="1519"/>
      <c r="M341" s="481"/>
    </row>
    <row r="342" spans="1:13" ht="15.75" hidden="1">
      <c r="A342" s="1145"/>
      <c r="B342" s="1146"/>
      <c r="C342" s="1509"/>
      <c r="D342" s="1545" t="s">
        <v>207</v>
      </c>
      <c r="E342" s="1546"/>
      <c r="F342" s="1546"/>
      <c r="G342" s="1546"/>
      <c r="H342" s="1546"/>
      <c r="I342" s="1546"/>
      <c r="J342" s="1547"/>
      <c r="K342" s="1548" t="s">
        <v>208</v>
      </c>
      <c r="L342" s="1548" t="s">
        <v>209</v>
      </c>
      <c r="M342" s="478"/>
    </row>
    <row r="343" spans="1:13" ht="15.75" hidden="1">
      <c r="A343" s="1145"/>
      <c r="B343" s="1146"/>
      <c r="C343" s="1509"/>
      <c r="D343" s="1555" t="s">
        <v>37</v>
      </c>
      <c r="E343" s="1556" t="s">
        <v>7</v>
      </c>
      <c r="F343" s="1557"/>
      <c r="G343" s="1557"/>
      <c r="H343" s="1557"/>
      <c r="I343" s="1557"/>
      <c r="J343" s="1558"/>
      <c r="K343" s="1549"/>
      <c r="L343" s="1553"/>
      <c r="M343" s="478"/>
    </row>
    <row r="344" spans="1:16" ht="15.75" hidden="1">
      <c r="A344" s="1513"/>
      <c r="B344" s="1514"/>
      <c r="C344" s="1509"/>
      <c r="D344" s="1555"/>
      <c r="E344" s="484" t="s">
        <v>210</v>
      </c>
      <c r="F344" s="484" t="s">
        <v>211</v>
      </c>
      <c r="G344" s="484" t="s">
        <v>212</v>
      </c>
      <c r="H344" s="484" t="s">
        <v>213</v>
      </c>
      <c r="I344" s="484" t="s">
        <v>346</v>
      </c>
      <c r="J344" s="484" t="s">
        <v>214</v>
      </c>
      <c r="K344" s="1550"/>
      <c r="L344" s="1554"/>
      <c r="M344" s="1507" t="s">
        <v>502</v>
      </c>
      <c r="N344" s="1507"/>
      <c r="O344" s="1507"/>
      <c r="P344" s="1507"/>
    </row>
    <row r="345" spans="1:16" ht="15" hidden="1">
      <c r="A345" s="1511" t="s">
        <v>6</v>
      </c>
      <c r="B345" s="1512"/>
      <c r="C345" s="485">
        <v>1</v>
      </c>
      <c r="D345" s="486">
        <v>2</v>
      </c>
      <c r="E345" s="485">
        <v>3</v>
      </c>
      <c r="F345" s="486">
        <v>4</v>
      </c>
      <c r="G345" s="485">
        <v>5</v>
      </c>
      <c r="H345" s="486">
        <v>6</v>
      </c>
      <c r="I345" s="485">
        <v>7</v>
      </c>
      <c r="J345" s="486">
        <v>8</v>
      </c>
      <c r="K345" s="485">
        <v>9</v>
      </c>
      <c r="L345" s="486">
        <v>10</v>
      </c>
      <c r="M345" s="487" t="s">
        <v>503</v>
      </c>
      <c r="N345" s="488" t="s">
        <v>506</v>
      </c>
      <c r="O345" s="488" t="s">
        <v>504</v>
      </c>
      <c r="P345" s="488" t="s">
        <v>505</v>
      </c>
    </row>
    <row r="346" spans="1:16" ht="24.75" customHeight="1" hidden="1">
      <c r="A346" s="428" t="s">
        <v>0</v>
      </c>
      <c r="B346" s="429" t="s">
        <v>131</v>
      </c>
      <c r="C346" s="404">
        <f>C347+C348</f>
        <v>676031</v>
      </c>
      <c r="D346" s="404">
        <f aca="true" t="shared" si="75" ref="D346:L346">D347+D348</f>
        <v>216345</v>
      </c>
      <c r="E346" s="404">
        <f t="shared" si="75"/>
        <v>42086</v>
      </c>
      <c r="F346" s="404">
        <f t="shared" si="75"/>
        <v>0</v>
      </c>
      <c r="G346" s="404">
        <f t="shared" si="75"/>
        <v>127097</v>
      </c>
      <c r="H346" s="404">
        <f t="shared" si="75"/>
        <v>24743</v>
      </c>
      <c r="I346" s="404">
        <f t="shared" si="75"/>
        <v>3300</v>
      </c>
      <c r="J346" s="404">
        <f t="shared" si="75"/>
        <v>19119</v>
      </c>
      <c r="K346" s="404">
        <f t="shared" si="75"/>
        <v>0</v>
      </c>
      <c r="L346" s="404">
        <f t="shared" si="75"/>
        <v>459686</v>
      </c>
      <c r="M346" s="404" t="e">
        <f>'03'!#REF!+'04'!#REF!</f>
        <v>#REF!</v>
      </c>
      <c r="N346" s="404" t="e">
        <f>C346-M346</f>
        <v>#REF!</v>
      </c>
      <c r="O346" s="404" t="e">
        <f>'07'!#REF!</f>
        <v>#REF!</v>
      </c>
      <c r="P346" s="404" t="e">
        <f>C346-O346</f>
        <v>#REF!</v>
      </c>
    </row>
    <row r="347" spans="1:16" ht="24.75" customHeight="1" hidden="1">
      <c r="A347" s="431">
        <v>1</v>
      </c>
      <c r="B347" s="432" t="s">
        <v>132</v>
      </c>
      <c r="C347" s="404">
        <f>D347+K347+L347</f>
        <v>293359</v>
      </c>
      <c r="D347" s="404">
        <f>E347+F347+G347+H347+I347+J347</f>
        <v>146432</v>
      </c>
      <c r="E347" s="409">
        <v>17635</v>
      </c>
      <c r="F347" s="409"/>
      <c r="G347" s="409">
        <v>127097</v>
      </c>
      <c r="H347" s="409">
        <v>1700</v>
      </c>
      <c r="I347" s="409"/>
      <c r="J347" s="409"/>
      <c r="K347" s="409"/>
      <c r="L347" s="409">
        <v>146927</v>
      </c>
      <c r="M347" s="409" t="e">
        <f>'03'!#REF!+'04'!#REF!</f>
        <v>#REF!</v>
      </c>
      <c r="N347" s="409" t="e">
        <f aca="true" t="shared" si="76" ref="N347:N361">C347-M347</f>
        <v>#REF!</v>
      </c>
      <c r="O347" s="409" t="e">
        <f>'07'!#REF!</f>
        <v>#REF!</v>
      </c>
      <c r="P347" s="409" t="e">
        <f aca="true" t="shared" si="77" ref="P347:P361">C347-O347</f>
        <v>#REF!</v>
      </c>
    </row>
    <row r="348" spans="1:16" ht="24.75" customHeight="1" hidden="1">
      <c r="A348" s="431">
        <v>2</v>
      </c>
      <c r="B348" s="432" t="s">
        <v>133</v>
      </c>
      <c r="C348" s="404">
        <f>D348+K348+L348</f>
        <v>382672</v>
      </c>
      <c r="D348" s="404">
        <f>E348+F348+G348+H348+I348+J348</f>
        <v>69913</v>
      </c>
      <c r="E348" s="409">
        <v>24451</v>
      </c>
      <c r="F348" s="409"/>
      <c r="G348" s="409"/>
      <c r="H348" s="409">
        <v>23043</v>
      </c>
      <c r="I348" s="409">
        <v>3300</v>
      </c>
      <c r="J348" s="409">
        <v>19119</v>
      </c>
      <c r="K348" s="409"/>
      <c r="L348" s="409">
        <v>312759</v>
      </c>
      <c r="M348" s="409" t="e">
        <f>'03'!#REF!+'04'!#REF!</f>
        <v>#REF!</v>
      </c>
      <c r="N348" s="409" t="e">
        <f t="shared" si="76"/>
        <v>#REF!</v>
      </c>
      <c r="O348" s="409" t="e">
        <f>'07'!#REF!</f>
        <v>#REF!</v>
      </c>
      <c r="P348" s="409" t="e">
        <f t="shared" si="77"/>
        <v>#REF!</v>
      </c>
    </row>
    <row r="349" spans="1:16" ht="24.75" customHeight="1" hidden="1">
      <c r="A349" s="394" t="s">
        <v>1</v>
      </c>
      <c r="B349" s="395" t="s">
        <v>134</v>
      </c>
      <c r="C349" s="404">
        <f>D349+K349+L349</f>
        <v>75600</v>
      </c>
      <c r="D349" s="404">
        <f>E349+F349+G349+H349+I349+J349</f>
        <v>8470</v>
      </c>
      <c r="E349" s="409">
        <v>8470</v>
      </c>
      <c r="F349" s="409"/>
      <c r="G349" s="409"/>
      <c r="H349" s="409"/>
      <c r="I349" s="409"/>
      <c r="J349" s="409"/>
      <c r="K349" s="409"/>
      <c r="L349" s="409">
        <v>67130</v>
      </c>
      <c r="M349" s="409" t="e">
        <f>'03'!#REF!+'04'!#REF!</f>
        <v>#REF!</v>
      </c>
      <c r="N349" s="409" t="e">
        <f t="shared" si="76"/>
        <v>#REF!</v>
      </c>
      <c r="O349" s="409" t="e">
        <f>'07'!#REF!</f>
        <v>#REF!</v>
      </c>
      <c r="P349" s="409" t="e">
        <f t="shared" si="77"/>
        <v>#REF!</v>
      </c>
    </row>
    <row r="350" spans="1:16" ht="24.75" customHeight="1" hidden="1">
      <c r="A350" s="394" t="s">
        <v>9</v>
      </c>
      <c r="B350" s="395" t="s">
        <v>135</v>
      </c>
      <c r="C350" s="404">
        <f>D350+K350+L350</f>
        <v>0</v>
      </c>
      <c r="D350" s="404">
        <f>E350+F350+G350+H350+I350+J350</f>
        <v>0</v>
      </c>
      <c r="E350" s="409"/>
      <c r="F350" s="409"/>
      <c r="G350" s="409"/>
      <c r="H350" s="409"/>
      <c r="I350" s="409"/>
      <c r="J350" s="409"/>
      <c r="K350" s="409"/>
      <c r="L350" s="409"/>
      <c r="M350" s="409" t="e">
        <f>'03'!#REF!+'04'!#REF!</f>
        <v>#REF!</v>
      </c>
      <c r="N350" s="409" t="e">
        <f t="shared" si="76"/>
        <v>#REF!</v>
      </c>
      <c r="O350" s="409" t="e">
        <f>'07'!#REF!</f>
        <v>#REF!</v>
      </c>
      <c r="P350" s="409" t="e">
        <f t="shared" si="77"/>
        <v>#REF!</v>
      </c>
    </row>
    <row r="351" spans="1:16" ht="24.75" customHeight="1" hidden="1">
      <c r="A351" s="394" t="s">
        <v>136</v>
      </c>
      <c r="B351" s="395" t="s">
        <v>137</v>
      </c>
      <c r="C351" s="404">
        <f>C352+C361</f>
        <v>600431</v>
      </c>
      <c r="D351" s="404">
        <f aca="true" t="shared" si="78" ref="D351:L351">D352+D361</f>
        <v>207875</v>
      </c>
      <c r="E351" s="404">
        <f t="shared" si="78"/>
        <v>33616</v>
      </c>
      <c r="F351" s="404">
        <f t="shared" si="78"/>
        <v>0</v>
      </c>
      <c r="G351" s="404">
        <f t="shared" si="78"/>
        <v>127097</v>
      </c>
      <c r="H351" s="404">
        <f t="shared" si="78"/>
        <v>24743</v>
      </c>
      <c r="I351" s="404">
        <f t="shared" si="78"/>
        <v>3300</v>
      </c>
      <c r="J351" s="404">
        <f t="shared" si="78"/>
        <v>19119</v>
      </c>
      <c r="K351" s="404">
        <f t="shared" si="78"/>
        <v>0</v>
      </c>
      <c r="L351" s="404">
        <f t="shared" si="78"/>
        <v>392556</v>
      </c>
      <c r="M351" s="404" t="e">
        <f>'03'!#REF!+'04'!#REF!</f>
        <v>#REF!</v>
      </c>
      <c r="N351" s="404" t="e">
        <f t="shared" si="76"/>
        <v>#REF!</v>
      </c>
      <c r="O351" s="404" t="e">
        <f>'07'!#REF!</f>
        <v>#REF!</v>
      </c>
      <c r="P351" s="404" t="e">
        <f t="shared" si="77"/>
        <v>#REF!</v>
      </c>
    </row>
    <row r="352" spans="1:16" ht="24.75" customHeight="1" hidden="1">
      <c r="A352" s="394" t="s">
        <v>52</v>
      </c>
      <c r="B352" s="433" t="s">
        <v>138</v>
      </c>
      <c r="C352" s="404">
        <f>SUM(C353:C360)</f>
        <v>455899</v>
      </c>
      <c r="D352" s="404">
        <f aca="true" t="shared" si="79" ref="D352:L352">SUM(D353:D360)</f>
        <v>63343</v>
      </c>
      <c r="E352" s="404">
        <f t="shared" si="79"/>
        <v>16181</v>
      </c>
      <c r="F352" s="404">
        <f t="shared" si="79"/>
        <v>0</v>
      </c>
      <c r="G352" s="404">
        <f t="shared" si="79"/>
        <v>0</v>
      </c>
      <c r="H352" s="404">
        <f t="shared" si="79"/>
        <v>24743</v>
      </c>
      <c r="I352" s="404">
        <f t="shared" si="79"/>
        <v>3300</v>
      </c>
      <c r="J352" s="404">
        <f t="shared" si="79"/>
        <v>19119</v>
      </c>
      <c r="K352" s="404">
        <f t="shared" si="79"/>
        <v>0</v>
      </c>
      <c r="L352" s="404">
        <f t="shared" si="79"/>
        <v>392556</v>
      </c>
      <c r="M352" s="404" t="e">
        <f>'03'!#REF!+'04'!#REF!</f>
        <v>#REF!</v>
      </c>
      <c r="N352" s="404" t="e">
        <f t="shared" si="76"/>
        <v>#REF!</v>
      </c>
      <c r="O352" s="404" t="e">
        <f>'07'!#REF!</f>
        <v>#REF!</v>
      </c>
      <c r="P352" s="404" t="e">
        <f t="shared" si="77"/>
        <v>#REF!</v>
      </c>
    </row>
    <row r="353" spans="1:16" ht="24.75" customHeight="1" hidden="1">
      <c r="A353" s="431" t="s">
        <v>54</v>
      </c>
      <c r="B353" s="432" t="s">
        <v>139</v>
      </c>
      <c r="C353" s="404">
        <f aca="true" t="shared" si="80" ref="C353:C361">D353+K353+L353</f>
        <v>75443</v>
      </c>
      <c r="D353" s="404">
        <f aca="true" t="shared" si="81" ref="D353:D361">E353+F353+G353+H353+I353+J353</f>
        <v>61443</v>
      </c>
      <c r="E353" s="409">
        <v>15981</v>
      </c>
      <c r="F353" s="409"/>
      <c r="G353" s="409"/>
      <c r="H353" s="409">
        <v>23043</v>
      </c>
      <c r="I353" s="409">
        <v>3300</v>
      </c>
      <c r="J353" s="409">
        <v>19119</v>
      </c>
      <c r="K353" s="409"/>
      <c r="L353" s="409">
        <v>14000</v>
      </c>
      <c r="M353" s="409" t="e">
        <f>'03'!#REF!+'04'!#REF!</f>
        <v>#REF!</v>
      </c>
      <c r="N353" s="409" t="e">
        <f t="shared" si="76"/>
        <v>#REF!</v>
      </c>
      <c r="O353" s="409" t="e">
        <f>'07'!#REF!</f>
        <v>#REF!</v>
      </c>
      <c r="P353" s="409" t="e">
        <f t="shared" si="77"/>
        <v>#REF!</v>
      </c>
    </row>
    <row r="354" spans="1:16" ht="24.75" customHeight="1" hidden="1">
      <c r="A354" s="431" t="s">
        <v>55</v>
      </c>
      <c r="B354" s="432" t="s">
        <v>140</v>
      </c>
      <c r="C354" s="404">
        <f t="shared" si="80"/>
        <v>0</v>
      </c>
      <c r="D354" s="404">
        <f t="shared" si="81"/>
        <v>0</v>
      </c>
      <c r="E354" s="409"/>
      <c r="F354" s="409"/>
      <c r="G354" s="409"/>
      <c r="H354" s="409"/>
      <c r="I354" s="409"/>
      <c r="J354" s="409"/>
      <c r="K354" s="409"/>
      <c r="L354" s="409"/>
      <c r="M354" s="409" t="e">
        <f>'03'!#REF!+'04'!#REF!</f>
        <v>#REF!</v>
      </c>
      <c r="N354" s="409" t="e">
        <f t="shared" si="76"/>
        <v>#REF!</v>
      </c>
      <c r="O354" s="409" t="e">
        <f>'07'!#REF!</f>
        <v>#REF!</v>
      </c>
      <c r="P354" s="409" t="e">
        <f t="shared" si="77"/>
        <v>#REF!</v>
      </c>
    </row>
    <row r="355" spans="1:16" ht="24.75" customHeight="1" hidden="1">
      <c r="A355" s="431" t="s">
        <v>141</v>
      </c>
      <c r="B355" s="432" t="s">
        <v>202</v>
      </c>
      <c r="C355" s="404">
        <f t="shared" si="80"/>
        <v>0</v>
      </c>
      <c r="D355" s="404">
        <f t="shared" si="81"/>
        <v>0</v>
      </c>
      <c r="E355" s="409"/>
      <c r="F355" s="409"/>
      <c r="G355" s="409"/>
      <c r="H355" s="409"/>
      <c r="I355" s="409"/>
      <c r="J355" s="409"/>
      <c r="K355" s="409"/>
      <c r="L355" s="409"/>
      <c r="M355" s="409" t="e">
        <f>'03'!#REF!</f>
        <v>#REF!</v>
      </c>
      <c r="N355" s="409" t="e">
        <f t="shared" si="76"/>
        <v>#REF!</v>
      </c>
      <c r="O355" s="409" t="e">
        <f>'07'!#REF!</f>
        <v>#REF!</v>
      </c>
      <c r="P355" s="409" t="e">
        <f t="shared" si="77"/>
        <v>#REF!</v>
      </c>
    </row>
    <row r="356" spans="1:16" ht="24.75" customHeight="1" hidden="1">
      <c r="A356" s="431" t="s">
        <v>143</v>
      </c>
      <c r="B356" s="432" t="s">
        <v>142</v>
      </c>
      <c r="C356" s="404">
        <f t="shared" si="80"/>
        <v>253354</v>
      </c>
      <c r="D356" s="404">
        <f t="shared" si="81"/>
        <v>1900</v>
      </c>
      <c r="E356" s="409">
        <v>200</v>
      </c>
      <c r="F356" s="409"/>
      <c r="G356" s="409"/>
      <c r="H356" s="409">
        <v>1700</v>
      </c>
      <c r="I356" s="409"/>
      <c r="J356" s="409"/>
      <c r="K356" s="409"/>
      <c r="L356" s="409">
        <v>251454</v>
      </c>
      <c r="M356" s="409" t="e">
        <f>'03'!#REF!+'04'!#REF!</f>
        <v>#REF!</v>
      </c>
      <c r="N356" s="409" t="e">
        <f t="shared" si="76"/>
        <v>#REF!</v>
      </c>
      <c r="O356" s="409" t="e">
        <f>'07'!#REF!</f>
        <v>#REF!</v>
      </c>
      <c r="P356" s="409" t="e">
        <f t="shared" si="77"/>
        <v>#REF!</v>
      </c>
    </row>
    <row r="357" spans="1:16" ht="24.75" customHeight="1" hidden="1">
      <c r="A357" s="431" t="s">
        <v>145</v>
      </c>
      <c r="B357" s="432" t="s">
        <v>144</v>
      </c>
      <c r="C357" s="404">
        <f t="shared" si="80"/>
        <v>0</v>
      </c>
      <c r="D357" s="404">
        <f t="shared" si="81"/>
        <v>0</v>
      </c>
      <c r="E357" s="409"/>
      <c r="F357" s="409"/>
      <c r="G357" s="409"/>
      <c r="H357" s="409"/>
      <c r="I357" s="409"/>
      <c r="J357" s="409"/>
      <c r="K357" s="409"/>
      <c r="L357" s="409"/>
      <c r="M357" s="409" t="e">
        <f>'03'!#REF!+'04'!#REF!</f>
        <v>#REF!</v>
      </c>
      <c r="N357" s="409" t="e">
        <f t="shared" si="76"/>
        <v>#REF!</v>
      </c>
      <c r="O357" s="409" t="e">
        <f>'07'!#REF!</f>
        <v>#REF!</v>
      </c>
      <c r="P357" s="409" t="e">
        <f t="shared" si="77"/>
        <v>#REF!</v>
      </c>
    </row>
    <row r="358" spans="1:16" ht="24.75" customHeight="1" hidden="1">
      <c r="A358" s="431" t="s">
        <v>147</v>
      </c>
      <c r="B358" s="432" t="s">
        <v>146</v>
      </c>
      <c r="C358" s="404">
        <f t="shared" si="80"/>
        <v>0</v>
      </c>
      <c r="D358" s="404">
        <f t="shared" si="81"/>
        <v>0</v>
      </c>
      <c r="E358" s="409"/>
      <c r="F358" s="409"/>
      <c r="G358" s="409"/>
      <c r="H358" s="409"/>
      <c r="I358" s="409"/>
      <c r="J358" s="409"/>
      <c r="K358" s="409"/>
      <c r="L358" s="409"/>
      <c r="M358" s="409" t="e">
        <f>'03'!#REF!+'04'!#REF!</f>
        <v>#REF!</v>
      </c>
      <c r="N358" s="409" t="e">
        <f t="shared" si="76"/>
        <v>#REF!</v>
      </c>
      <c r="O358" s="409" t="e">
        <f>'07'!#REF!</f>
        <v>#REF!</v>
      </c>
      <c r="P358" s="409" t="e">
        <f t="shared" si="77"/>
        <v>#REF!</v>
      </c>
    </row>
    <row r="359" spans="1:16" ht="24.75" customHeight="1" hidden="1">
      <c r="A359" s="431" t="s">
        <v>149</v>
      </c>
      <c r="B359" s="434" t="s">
        <v>148</v>
      </c>
      <c r="C359" s="404">
        <f t="shared" si="80"/>
        <v>0</v>
      </c>
      <c r="D359" s="404">
        <f t="shared" si="81"/>
        <v>0</v>
      </c>
      <c r="E359" s="409"/>
      <c r="F359" s="409"/>
      <c r="G359" s="409"/>
      <c r="H359" s="409"/>
      <c r="I359" s="409"/>
      <c r="J359" s="409"/>
      <c r="K359" s="409"/>
      <c r="L359" s="409"/>
      <c r="M359" s="409" t="e">
        <f>'03'!#REF!+'04'!#REF!</f>
        <v>#REF!</v>
      </c>
      <c r="N359" s="409" t="e">
        <f t="shared" si="76"/>
        <v>#REF!</v>
      </c>
      <c r="O359" s="409" t="e">
        <f>'07'!#REF!</f>
        <v>#REF!</v>
      </c>
      <c r="P359" s="409" t="e">
        <f t="shared" si="77"/>
        <v>#REF!</v>
      </c>
    </row>
    <row r="360" spans="1:16" ht="24.75" customHeight="1" hidden="1">
      <c r="A360" s="431" t="s">
        <v>186</v>
      </c>
      <c r="B360" s="432" t="s">
        <v>150</v>
      </c>
      <c r="C360" s="404">
        <f t="shared" si="80"/>
        <v>127102</v>
      </c>
      <c r="D360" s="404">
        <f t="shared" si="81"/>
        <v>0</v>
      </c>
      <c r="E360" s="409"/>
      <c r="F360" s="409"/>
      <c r="G360" s="409"/>
      <c r="H360" s="409"/>
      <c r="I360" s="409"/>
      <c r="J360" s="409"/>
      <c r="K360" s="409"/>
      <c r="L360" s="409">
        <v>127102</v>
      </c>
      <c r="M360" s="409" t="e">
        <f>'03'!#REF!+'04'!#REF!</f>
        <v>#REF!</v>
      </c>
      <c r="N360" s="409" t="e">
        <f t="shared" si="76"/>
        <v>#REF!</v>
      </c>
      <c r="O360" s="409" t="e">
        <f>'07'!#REF!</f>
        <v>#REF!</v>
      </c>
      <c r="P360" s="409" t="e">
        <f t="shared" si="77"/>
        <v>#REF!</v>
      </c>
    </row>
    <row r="361" spans="1:16" ht="24.75" customHeight="1" hidden="1">
      <c r="A361" s="394" t="s">
        <v>53</v>
      </c>
      <c r="B361" s="395" t="s">
        <v>151</v>
      </c>
      <c r="C361" s="404">
        <f t="shared" si="80"/>
        <v>144532</v>
      </c>
      <c r="D361" s="404">
        <f t="shared" si="81"/>
        <v>144532</v>
      </c>
      <c r="E361" s="409">
        <v>17435</v>
      </c>
      <c r="F361" s="409"/>
      <c r="G361" s="409">
        <v>127097</v>
      </c>
      <c r="H361" s="409"/>
      <c r="I361" s="409"/>
      <c r="J361" s="409"/>
      <c r="K361" s="409"/>
      <c r="L361" s="409"/>
      <c r="M361" s="404" t="e">
        <f>'03'!#REF!+'04'!#REF!</f>
        <v>#REF!</v>
      </c>
      <c r="N361" s="404" t="e">
        <f t="shared" si="76"/>
        <v>#REF!</v>
      </c>
      <c r="O361" s="404" t="e">
        <f>'07'!#REF!</f>
        <v>#REF!</v>
      </c>
      <c r="P361" s="404" t="e">
        <f t="shared" si="77"/>
        <v>#REF!</v>
      </c>
    </row>
    <row r="362" spans="1:16" ht="24.75" customHeight="1" hidden="1">
      <c r="A362" s="463" t="s">
        <v>76</v>
      </c>
      <c r="B362" s="492" t="s">
        <v>215</v>
      </c>
      <c r="C362" s="476">
        <f>(C353+C354+C355)/C352</f>
        <v>0.16548182821195045</v>
      </c>
      <c r="D362" s="396">
        <f aca="true" t="shared" si="82" ref="D362:L362">(D353+D354+D355)/D352</f>
        <v>0.9700045782485831</v>
      </c>
      <c r="E362" s="414">
        <f t="shared" si="82"/>
        <v>0.9876398244855077</v>
      </c>
      <c r="F362" s="414" t="e">
        <f t="shared" si="82"/>
        <v>#DIV/0!</v>
      </c>
      <c r="G362" s="414" t="e">
        <f t="shared" si="82"/>
        <v>#DIV/0!</v>
      </c>
      <c r="H362" s="414">
        <f t="shared" si="82"/>
        <v>0.9312936992280645</v>
      </c>
      <c r="I362" s="414">
        <f t="shared" si="82"/>
        <v>1</v>
      </c>
      <c r="J362" s="414">
        <f t="shared" si="82"/>
        <v>1</v>
      </c>
      <c r="K362" s="414" t="e">
        <f t="shared" si="82"/>
        <v>#DIV/0!</v>
      </c>
      <c r="L362" s="414">
        <f t="shared" si="82"/>
        <v>0.03566370148462895</v>
      </c>
      <c r="M362" s="425"/>
      <c r="N362" s="493"/>
      <c r="O362" s="493"/>
      <c r="P362" s="493"/>
    </row>
    <row r="363" spans="1:16" ht="17.25" hidden="1">
      <c r="A363" s="1515" t="s">
        <v>500</v>
      </c>
      <c r="B363" s="1515"/>
      <c r="C363" s="409">
        <f>C346-C349-C350-C351</f>
        <v>0</v>
      </c>
      <c r="D363" s="409">
        <f aca="true" t="shared" si="83" ref="D363:L363">D346-D349-D350-D351</f>
        <v>0</v>
      </c>
      <c r="E363" s="409">
        <f t="shared" si="83"/>
        <v>0</v>
      </c>
      <c r="F363" s="409">
        <f t="shared" si="83"/>
        <v>0</v>
      </c>
      <c r="G363" s="409">
        <f t="shared" si="83"/>
        <v>0</v>
      </c>
      <c r="H363" s="409">
        <f t="shared" si="83"/>
        <v>0</v>
      </c>
      <c r="I363" s="409">
        <f t="shared" si="83"/>
        <v>0</v>
      </c>
      <c r="J363" s="409">
        <f t="shared" si="83"/>
        <v>0</v>
      </c>
      <c r="K363" s="409">
        <f t="shared" si="83"/>
        <v>0</v>
      </c>
      <c r="L363" s="409">
        <f t="shared" si="83"/>
        <v>0</v>
      </c>
      <c r="M363" s="425"/>
      <c r="N363" s="493"/>
      <c r="O363" s="493"/>
      <c r="P363" s="493"/>
    </row>
    <row r="364" spans="1:16" ht="17.25" hidden="1">
      <c r="A364" s="1516" t="s">
        <v>501</v>
      </c>
      <c r="B364" s="1516"/>
      <c r="C364" s="409">
        <f>C351-C352-C361</f>
        <v>0</v>
      </c>
      <c r="D364" s="409">
        <f aca="true" t="shared" si="84" ref="D364:L364">D351-D352-D361</f>
        <v>0</v>
      </c>
      <c r="E364" s="409">
        <f t="shared" si="84"/>
        <v>0</v>
      </c>
      <c r="F364" s="409">
        <f t="shared" si="84"/>
        <v>0</v>
      </c>
      <c r="G364" s="409">
        <f t="shared" si="84"/>
        <v>0</v>
      </c>
      <c r="H364" s="409">
        <f t="shared" si="84"/>
        <v>0</v>
      </c>
      <c r="I364" s="409">
        <f t="shared" si="84"/>
        <v>0</v>
      </c>
      <c r="J364" s="409">
        <f t="shared" si="84"/>
        <v>0</v>
      </c>
      <c r="K364" s="409">
        <f t="shared" si="84"/>
        <v>0</v>
      </c>
      <c r="L364" s="409">
        <f t="shared" si="84"/>
        <v>0</v>
      </c>
      <c r="M364" s="425"/>
      <c r="N364" s="493"/>
      <c r="O364" s="493"/>
      <c r="P364" s="493"/>
    </row>
    <row r="365" spans="1:16" ht="18.75" hidden="1">
      <c r="A365" s="478"/>
      <c r="B365" s="494" t="s">
        <v>520</v>
      </c>
      <c r="C365" s="494"/>
      <c r="D365" s="466"/>
      <c r="E365" s="466"/>
      <c r="F365" s="466"/>
      <c r="G365" s="1518" t="s">
        <v>520</v>
      </c>
      <c r="H365" s="1518"/>
      <c r="I365" s="1518"/>
      <c r="J365" s="1518"/>
      <c r="K365" s="1518"/>
      <c r="L365" s="1518"/>
      <c r="M365" s="481"/>
      <c r="N365" s="481"/>
      <c r="O365" s="481"/>
      <c r="P365" s="481"/>
    </row>
    <row r="366" spans="1:16" ht="18.75" hidden="1">
      <c r="A366" s="1551" t="s">
        <v>4</v>
      </c>
      <c r="B366" s="1551"/>
      <c r="C366" s="1551"/>
      <c r="D366" s="1551"/>
      <c r="E366" s="466"/>
      <c r="F366" s="466"/>
      <c r="G366" s="495"/>
      <c r="H366" s="1552" t="s">
        <v>521</v>
      </c>
      <c r="I366" s="1552"/>
      <c r="J366" s="1552"/>
      <c r="K366" s="1552"/>
      <c r="L366" s="1552"/>
      <c r="M366" s="481"/>
      <c r="N366" s="481"/>
      <c r="O366" s="481"/>
      <c r="P366" s="481"/>
    </row>
    <row r="367" ht="15" hidden="1"/>
    <row r="368" ht="15" hidden="1"/>
    <row r="369" ht="15" hidden="1"/>
    <row r="370" ht="15" hidden="1"/>
    <row r="371" ht="15" hidden="1"/>
    <row r="372" ht="15" hidden="1"/>
    <row r="373" ht="15" hidden="1"/>
    <row r="374" ht="15" hidden="1"/>
    <row r="375" ht="15" hidden="1"/>
    <row r="376" ht="15" hidden="1"/>
    <row r="377" ht="15" hidden="1"/>
    <row r="378" ht="15" hidden="1"/>
    <row r="379" spans="1:13" ht="16.5" hidden="1">
      <c r="A379" s="1540" t="s">
        <v>33</v>
      </c>
      <c r="B379" s="1541"/>
      <c r="C379" s="477"/>
      <c r="D379" s="1532" t="s">
        <v>79</v>
      </c>
      <c r="E379" s="1532"/>
      <c r="F379" s="1532"/>
      <c r="G379" s="1532"/>
      <c r="H379" s="1532"/>
      <c r="I379" s="1532"/>
      <c r="J379" s="1532"/>
      <c r="K379" s="1542"/>
      <c r="L379" s="1542"/>
      <c r="M379" s="481"/>
    </row>
    <row r="380" spans="1:13" ht="16.5" hidden="1">
      <c r="A380" s="1495" t="s">
        <v>344</v>
      </c>
      <c r="B380" s="1495"/>
      <c r="C380" s="1495"/>
      <c r="D380" s="1532" t="s">
        <v>216</v>
      </c>
      <c r="E380" s="1532"/>
      <c r="F380" s="1532"/>
      <c r="G380" s="1532"/>
      <c r="H380" s="1532"/>
      <c r="I380" s="1532"/>
      <c r="J380" s="1532"/>
      <c r="K380" s="1539" t="s">
        <v>515</v>
      </c>
      <c r="L380" s="1539"/>
      <c r="M380" s="478"/>
    </row>
    <row r="381" spans="1:13" ht="16.5" hidden="1">
      <c r="A381" s="1495" t="s">
        <v>345</v>
      </c>
      <c r="B381" s="1495"/>
      <c r="C381" s="415"/>
      <c r="D381" s="1543" t="s">
        <v>11</v>
      </c>
      <c r="E381" s="1543"/>
      <c r="F381" s="1543"/>
      <c r="G381" s="1543"/>
      <c r="H381" s="1543"/>
      <c r="I381" s="1543"/>
      <c r="J381" s="1543"/>
      <c r="K381" s="1542"/>
      <c r="L381" s="1542"/>
      <c r="M381" s="481"/>
    </row>
    <row r="382" spans="1:13" ht="15.75" hidden="1">
      <c r="A382" s="436" t="s">
        <v>119</v>
      </c>
      <c r="B382" s="436"/>
      <c r="C382" s="421"/>
      <c r="D382" s="482"/>
      <c r="E382" s="482"/>
      <c r="F382" s="483"/>
      <c r="G382" s="483"/>
      <c r="H382" s="483"/>
      <c r="I382" s="483"/>
      <c r="J382" s="483"/>
      <c r="K382" s="1544"/>
      <c r="L382" s="1544"/>
      <c r="M382" s="478"/>
    </row>
    <row r="383" spans="1:13" ht="15.75" hidden="1">
      <c r="A383" s="482"/>
      <c r="B383" s="482" t="s">
        <v>94</v>
      </c>
      <c r="C383" s="409">
        <v>2566605</v>
      </c>
      <c r="D383" s="409">
        <v>891117</v>
      </c>
      <c r="E383" s="409">
        <v>322557</v>
      </c>
      <c r="F383" s="409"/>
      <c r="G383" s="409">
        <v>305560</v>
      </c>
      <c r="H383" s="409"/>
      <c r="I383" s="409">
        <v>263000</v>
      </c>
      <c r="J383" s="409"/>
      <c r="K383" s="409">
        <v>1675488</v>
      </c>
      <c r="L383" s="409"/>
      <c r="M383" s="478"/>
    </row>
    <row r="384" spans="1:13" ht="15.75" hidden="1">
      <c r="A384" s="1143" t="s">
        <v>71</v>
      </c>
      <c r="B384" s="1144"/>
      <c r="C384" s="1509" t="s">
        <v>38</v>
      </c>
      <c r="D384" s="1519" t="s">
        <v>339</v>
      </c>
      <c r="E384" s="1519"/>
      <c r="F384" s="1519"/>
      <c r="G384" s="1519"/>
      <c r="H384" s="1519"/>
      <c r="I384" s="1519"/>
      <c r="J384" s="1519"/>
      <c r="K384" s="1519"/>
      <c r="L384" s="1519"/>
      <c r="M384" s="481"/>
    </row>
    <row r="385" spans="1:13" ht="15.75" hidden="1">
      <c r="A385" s="1145"/>
      <c r="B385" s="1146"/>
      <c r="C385" s="1509"/>
      <c r="D385" s="1545" t="s">
        <v>207</v>
      </c>
      <c r="E385" s="1546"/>
      <c r="F385" s="1546"/>
      <c r="G385" s="1546"/>
      <c r="H385" s="1546"/>
      <c r="I385" s="1546"/>
      <c r="J385" s="1547"/>
      <c r="K385" s="1548" t="s">
        <v>208</v>
      </c>
      <c r="L385" s="1548" t="s">
        <v>209</v>
      </c>
      <c r="M385" s="478"/>
    </row>
    <row r="386" spans="1:13" ht="15.75" hidden="1">
      <c r="A386" s="1145"/>
      <c r="B386" s="1146"/>
      <c r="C386" s="1509"/>
      <c r="D386" s="1555" t="s">
        <v>37</v>
      </c>
      <c r="E386" s="1556" t="s">
        <v>7</v>
      </c>
      <c r="F386" s="1557"/>
      <c r="G386" s="1557"/>
      <c r="H386" s="1557"/>
      <c r="I386" s="1557"/>
      <c r="J386" s="1558"/>
      <c r="K386" s="1549"/>
      <c r="L386" s="1553"/>
      <c r="M386" s="478"/>
    </row>
    <row r="387" spans="1:16" ht="15.75" hidden="1">
      <c r="A387" s="1513"/>
      <c r="B387" s="1514"/>
      <c r="C387" s="1509"/>
      <c r="D387" s="1555"/>
      <c r="E387" s="484" t="s">
        <v>210</v>
      </c>
      <c r="F387" s="484" t="s">
        <v>211</v>
      </c>
      <c r="G387" s="484" t="s">
        <v>212</v>
      </c>
      <c r="H387" s="484" t="s">
        <v>213</v>
      </c>
      <c r="I387" s="484" t="s">
        <v>346</v>
      </c>
      <c r="J387" s="484" t="s">
        <v>214</v>
      </c>
      <c r="K387" s="1550"/>
      <c r="L387" s="1554"/>
      <c r="M387" s="1507" t="s">
        <v>502</v>
      </c>
      <c r="N387" s="1507"/>
      <c r="O387" s="1507"/>
      <c r="P387" s="1507"/>
    </row>
    <row r="388" spans="1:16" ht="15" hidden="1">
      <c r="A388" s="1511" t="s">
        <v>6</v>
      </c>
      <c r="B388" s="1512"/>
      <c r="C388" s="485">
        <v>1</v>
      </c>
      <c r="D388" s="486">
        <v>2</v>
      </c>
      <c r="E388" s="485">
        <v>3</v>
      </c>
      <c r="F388" s="486">
        <v>4</v>
      </c>
      <c r="G388" s="485">
        <v>5</v>
      </c>
      <c r="H388" s="486">
        <v>6</v>
      </c>
      <c r="I388" s="485">
        <v>7</v>
      </c>
      <c r="J388" s="486">
        <v>8</v>
      </c>
      <c r="K388" s="485">
        <v>9</v>
      </c>
      <c r="L388" s="486">
        <v>10</v>
      </c>
      <c r="M388" s="487" t="s">
        <v>503</v>
      </c>
      <c r="N388" s="488" t="s">
        <v>506</v>
      </c>
      <c r="O388" s="488" t="s">
        <v>504</v>
      </c>
      <c r="P388" s="488" t="s">
        <v>505</v>
      </c>
    </row>
    <row r="389" spans="1:16" ht="24.75" customHeight="1" hidden="1">
      <c r="A389" s="428" t="s">
        <v>0</v>
      </c>
      <c r="B389" s="429" t="s">
        <v>131</v>
      </c>
      <c r="C389" s="404">
        <f>C390+C391</f>
        <v>6961324</v>
      </c>
      <c r="D389" s="404">
        <f aca="true" t="shared" si="85" ref="D389:L389">D390+D391</f>
        <v>1160486</v>
      </c>
      <c r="E389" s="404">
        <f t="shared" si="85"/>
        <v>331649</v>
      </c>
      <c r="F389" s="404">
        <f t="shared" si="85"/>
        <v>0</v>
      </c>
      <c r="G389" s="404">
        <f t="shared" si="85"/>
        <v>382410</v>
      </c>
      <c r="H389" s="404">
        <f t="shared" si="85"/>
        <v>109701</v>
      </c>
      <c r="I389" s="404">
        <f t="shared" si="85"/>
        <v>278351</v>
      </c>
      <c r="J389" s="404">
        <f t="shared" si="85"/>
        <v>58375</v>
      </c>
      <c r="K389" s="404">
        <f t="shared" si="85"/>
        <v>0</v>
      </c>
      <c r="L389" s="404">
        <f t="shared" si="85"/>
        <v>5800838</v>
      </c>
      <c r="M389" s="404" t="e">
        <f>'03'!#REF!+'04'!#REF!</f>
        <v>#REF!</v>
      </c>
      <c r="N389" s="404" t="e">
        <f>C389-M389</f>
        <v>#REF!</v>
      </c>
      <c r="O389" s="404" t="e">
        <f>'07'!#REF!</f>
        <v>#REF!</v>
      </c>
      <c r="P389" s="404" t="e">
        <f>C389-O389</f>
        <v>#REF!</v>
      </c>
    </row>
    <row r="390" spans="1:16" ht="24.75" customHeight="1" hidden="1">
      <c r="A390" s="431">
        <v>1</v>
      </c>
      <c r="B390" s="432" t="s">
        <v>132</v>
      </c>
      <c r="C390" s="404">
        <f>D390+K390+L390</f>
        <v>2566605</v>
      </c>
      <c r="D390" s="404">
        <f>E390+F390+G390+H390+I390+J390</f>
        <v>891117</v>
      </c>
      <c r="E390" s="409">
        <v>322507</v>
      </c>
      <c r="F390" s="409">
        <v>0</v>
      </c>
      <c r="G390" s="409">
        <v>312410</v>
      </c>
      <c r="H390" s="409">
        <v>0</v>
      </c>
      <c r="I390" s="409">
        <v>256200</v>
      </c>
      <c r="J390" s="409">
        <v>0</v>
      </c>
      <c r="K390" s="409">
        <v>0</v>
      </c>
      <c r="L390" s="409">
        <v>1675488</v>
      </c>
      <c r="M390" s="409" t="e">
        <f>'03'!#REF!+'04'!#REF!</f>
        <v>#REF!</v>
      </c>
      <c r="N390" s="409" t="e">
        <f aca="true" t="shared" si="86" ref="N390:N404">C390-M390</f>
        <v>#REF!</v>
      </c>
      <c r="O390" s="409" t="e">
        <f>'07'!#REF!</f>
        <v>#REF!</v>
      </c>
      <c r="P390" s="409" t="e">
        <f aca="true" t="shared" si="87" ref="P390:P404">C390-O390</f>
        <v>#REF!</v>
      </c>
    </row>
    <row r="391" spans="1:16" ht="24.75" customHeight="1" hidden="1">
      <c r="A391" s="431">
        <v>2</v>
      </c>
      <c r="B391" s="432" t="s">
        <v>133</v>
      </c>
      <c r="C391" s="404">
        <f>D391+K391+L391</f>
        <v>4394719</v>
      </c>
      <c r="D391" s="404">
        <f>E391+F391+G391+H391+I391+J391</f>
        <v>269369</v>
      </c>
      <c r="E391" s="409">
        <v>9142</v>
      </c>
      <c r="F391" s="409">
        <v>0</v>
      </c>
      <c r="G391" s="409">
        <v>70000</v>
      </c>
      <c r="H391" s="409">
        <v>109701</v>
      </c>
      <c r="I391" s="409">
        <v>22151</v>
      </c>
      <c r="J391" s="409">
        <v>58375</v>
      </c>
      <c r="K391" s="409">
        <v>0</v>
      </c>
      <c r="L391" s="409">
        <v>4125350</v>
      </c>
      <c r="M391" s="409" t="e">
        <f>'03'!#REF!+'04'!#REF!</f>
        <v>#REF!</v>
      </c>
      <c r="N391" s="409" t="e">
        <f t="shared" si="86"/>
        <v>#REF!</v>
      </c>
      <c r="O391" s="409" t="e">
        <f>'07'!#REF!</f>
        <v>#REF!</v>
      </c>
      <c r="P391" s="409" t="e">
        <f t="shared" si="87"/>
        <v>#REF!</v>
      </c>
    </row>
    <row r="392" spans="1:16" ht="24.75" customHeight="1" hidden="1">
      <c r="A392" s="394" t="s">
        <v>1</v>
      </c>
      <c r="B392" s="395" t="s">
        <v>134</v>
      </c>
      <c r="C392" s="404">
        <f>D392+K392+L392</f>
        <v>950</v>
      </c>
      <c r="D392" s="404">
        <f>E392+F392+G392+H392+I392+J392</f>
        <v>950</v>
      </c>
      <c r="E392" s="409">
        <v>200</v>
      </c>
      <c r="F392" s="409">
        <v>0</v>
      </c>
      <c r="G392" s="409">
        <v>0</v>
      </c>
      <c r="H392" s="409">
        <v>0</v>
      </c>
      <c r="I392" s="409">
        <v>750</v>
      </c>
      <c r="J392" s="409">
        <v>0</v>
      </c>
      <c r="K392" s="409">
        <v>0</v>
      </c>
      <c r="L392" s="409">
        <v>0</v>
      </c>
      <c r="M392" s="409" t="e">
        <f>'03'!#REF!+'04'!#REF!</f>
        <v>#REF!</v>
      </c>
      <c r="N392" s="409" t="e">
        <f t="shared" si="86"/>
        <v>#REF!</v>
      </c>
      <c r="O392" s="409" t="e">
        <f>'07'!#REF!</f>
        <v>#REF!</v>
      </c>
      <c r="P392" s="409" t="e">
        <f t="shared" si="87"/>
        <v>#REF!</v>
      </c>
    </row>
    <row r="393" spans="1:16" ht="24.75" customHeight="1" hidden="1">
      <c r="A393" s="394" t="s">
        <v>9</v>
      </c>
      <c r="B393" s="395" t="s">
        <v>135</v>
      </c>
      <c r="C393" s="404">
        <f>D393+K393+L393</f>
        <v>0</v>
      </c>
      <c r="D393" s="404">
        <f>E393+F393+G393+H393+I393+J393</f>
        <v>0</v>
      </c>
      <c r="E393" s="409">
        <v>0</v>
      </c>
      <c r="F393" s="409">
        <v>0</v>
      </c>
      <c r="G393" s="409">
        <v>0</v>
      </c>
      <c r="H393" s="409">
        <v>0</v>
      </c>
      <c r="I393" s="409">
        <v>0</v>
      </c>
      <c r="J393" s="409">
        <v>0</v>
      </c>
      <c r="K393" s="409">
        <v>0</v>
      </c>
      <c r="L393" s="409">
        <v>0</v>
      </c>
      <c r="M393" s="409" t="e">
        <f>'03'!#REF!+'04'!#REF!</f>
        <v>#REF!</v>
      </c>
      <c r="N393" s="409" t="e">
        <f t="shared" si="86"/>
        <v>#REF!</v>
      </c>
      <c r="O393" s="409" t="e">
        <f>'07'!#REF!</f>
        <v>#REF!</v>
      </c>
      <c r="P393" s="409" t="e">
        <f t="shared" si="87"/>
        <v>#REF!</v>
      </c>
    </row>
    <row r="394" spans="1:16" ht="24.75" customHeight="1" hidden="1">
      <c r="A394" s="394" t="s">
        <v>136</v>
      </c>
      <c r="B394" s="395" t="s">
        <v>137</v>
      </c>
      <c r="C394" s="404">
        <f>C395+C404</f>
        <v>6960374</v>
      </c>
      <c r="D394" s="404">
        <f aca="true" t="shared" si="88" ref="D394:L394">D395+D404</f>
        <v>1159536</v>
      </c>
      <c r="E394" s="404">
        <f t="shared" si="88"/>
        <v>331449</v>
      </c>
      <c r="F394" s="404">
        <f t="shared" si="88"/>
        <v>0</v>
      </c>
      <c r="G394" s="404">
        <f t="shared" si="88"/>
        <v>382410</v>
      </c>
      <c r="H394" s="404">
        <f t="shared" si="88"/>
        <v>109701</v>
      </c>
      <c r="I394" s="404">
        <f t="shared" si="88"/>
        <v>277601</v>
      </c>
      <c r="J394" s="404">
        <f t="shared" si="88"/>
        <v>58375</v>
      </c>
      <c r="K394" s="404">
        <f t="shared" si="88"/>
        <v>0</v>
      </c>
      <c r="L394" s="404">
        <f t="shared" si="88"/>
        <v>5800838</v>
      </c>
      <c r="M394" s="404" t="e">
        <f>'03'!#REF!+'04'!#REF!</f>
        <v>#REF!</v>
      </c>
      <c r="N394" s="404" t="e">
        <f t="shared" si="86"/>
        <v>#REF!</v>
      </c>
      <c r="O394" s="404" t="e">
        <f>'07'!#REF!</f>
        <v>#REF!</v>
      </c>
      <c r="P394" s="404" t="e">
        <f t="shared" si="87"/>
        <v>#REF!</v>
      </c>
    </row>
    <row r="395" spans="1:16" ht="24.75" customHeight="1" hidden="1">
      <c r="A395" s="394" t="s">
        <v>52</v>
      </c>
      <c r="B395" s="433" t="s">
        <v>138</v>
      </c>
      <c r="C395" s="404">
        <f>SUM(C396:C403)</f>
        <v>6284923</v>
      </c>
      <c r="D395" s="404">
        <f aca="true" t="shared" si="89" ref="D395:L395">SUM(D396:D403)</f>
        <v>484085</v>
      </c>
      <c r="E395" s="404">
        <f t="shared" si="89"/>
        <v>254828</v>
      </c>
      <c r="F395" s="404">
        <f t="shared" si="89"/>
        <v>0</v>
      </c>
      <c r="G395" s="404">
        <f t="shared" si="89"/>
        <v>83280</v>
      </c>
      <c r="H395" s="404">
        <f t="shared" si="89"/>
        <v>1201</v>
      </c>
      <c r="I395" s="404">
        <f t="shared" si="89"/>
        <v>86401</v>
      </c>
      <c r="J395" s="404">
        <f t="shared" si="89"/>
        <v>58375</v>
      </c>
      <c r="K395" s="404">
        <f t="shared" si="89"/>
        <v>0</v>
      </c>
      <c r="L395" s="404">
        <f t="shared" si="89"/>
        <v>5800838</v>
      </c>
      <c r="M395" s="404" t="e">
        <f>'03'!#REF!+'04'!#REF!</f>
        <v>#REF!</v>
      </c>
      <c r="N395" s="404" t="e">
        <f t="shared" si="86"/>
        <v>#REF!</v>
      </c>
      <c r="O395" s="404" t="e">
        <f>'07'!#REF!</f>
        <v>#REF!</v>
      </c>
      <c r="P395" s="404" t="e">
        <f t="shared" si="87"/>
        <v>#REF!</v>
      </c>
    </row>
    <row r="396" spans="1:16" ht="24.75" customHeight="1" hidden="1">
      <c r="A396" s="431" t="s">
        <v>54</v>
      </c>
      <c r="B396" s="432" t="s">
        <v>139</v>
      </c>
      <c r="C396" s="404">
        <f aca="true" t="shared" si="90" ref="C396:C404">D396+K396+L396</f>
        <v>88177</v>
      </c>
      <c r="D396" s="404">
        <f aca="true" t="shared" si="91" ref="D396:D404">E396+F396+G396+H396+I396+J396</f>
        <v>75577</v>
      </c>
      <c r="E396" s="409">
        <v>4500</v>
      </c>
      <c r="F396" s="409">
        <v>0</v>
      </c>
      <c r="G396" s="409">
        <v>10000</v>
      </c>
      <c r="H396" s="409">
        <v>1201</v>
      </c>
      <c r="I396" s="409">
        <v>1501</v>
      </c>
      <c r="J396" s="409">
        <v>58375</v>
      </c>
      <c r="K396" s="409">
        <v>0</v>
      </c>
      <c r="L396" s="409">
        <v>12600</v>
      </c>
      <c r="M396" s="409" t="e">
        <f>'03'!#REF!+'04'!#REF!</f>
        <v>#REF!</v>
      </c>
      <c r="N396" s="409" t="e">
        <f t="shared" si="86"/>
        <v>#REF!</v>
      </c>
      <c r="O396" s="409" t="e">
        <f>'07'!#REF!</f>
        <v>#REF!</v>
      </c>
      <c r="P396" s="409" t="e">
        <f t="shared" si="87"/>
        <v>#REF!</v>
      </c>
    </row>
    <row r="397" spans="1:16" ht="24.75" customHeight="1" hidden="1">
      <c r="A397" s="431" t="s">
        <v>55</v>
      </c>
      <c r="B397" s="432" t="s">
        <v>140</v>
      </c>
      <c r="C397" s="404">
        <f t="shared" si="90"/>
        <v>0</v>
      </c>
      <c r="D397" s="404">
        <f t="shared" si="91"/>
        <v>0</v>
      </c>
      <c r="E397" s="409">
        <v>0</v>
      </c>
      <c r="F397" s="409">
        <v>0</v>
      </c>
      <c r="G397" s="409">
        <v>0</v>
      </c>
      <c r="H397" s="409">
        <v>0</v>
      </c>
      <c r="I397" s="409">
        <v>0</v>
      </c>
      <c r="J397" s="409">
        <v>0</v>
      </c>
      <c r="K397" s="409">
        <v>0</v>
      </c>
      <c r="L397" s="409">
        <v>0</v>
      </c>
      <c r="M397" s="409" t="e">
        <f>'03'!#REF!+'04'!#REF!</f>
        <v>#REF!</v>
      </c>
      <c r="N397" s="409" t="e">
        <f t="shared" si="86"/>
        <v>#REF!</v>
      </c>
      <c r="O397" s="409" t="e">
        <f>'07'!#REF!</f>
        <v>#REF!</v>
      </c>
      <c r="P397" s="409" t="e">
        <f t="shared" si="87"/>
        <v>#REF!</v>
      </c>
    </row>
    <row r="398" spans="1:16" ht="24.75" customHeight="1" hidden="1">
      <c r="A398" s="431" t="s">
        <v>141</v>
      </c>
      <c r="B398" s="432" t="s">
        <v>202</v>
      </c>
      <c r="C398" s="404">
        <f t="shared" si="90"/>
        <v>4500</v>
      </c>
      <c r="D398" s="404">
        <f t="shared" si="91"/>
        <v>4500</v>
      </c>
      <c r="E398" s="409">
        <v>0</v>
      </c>
      <c r="F398" s="409">
        <v>0</v>
      </c>
      <c r="G398" s="409">
        <v>4500</v>
      </c>
      <c r="H398" s="409">
        <v>0</v>
      </c>
      <c r="I398" s="409">
        <v>0</v>
      </c>
      <c r="J398" s="409">
        <v>0</v>
      </c>
      <c r="K398" s="409">
        <v>0</v>
      </c>
      <c r="L398" s="409">
        <v>0</v>
      </c>
      <c r="M398" s="409" t="e">
        <f>'03'!#REF!</f>
        <v>#REF!</v>
      </c>
      <c r="N398" s="409" t="e">
        <f t="shared" si="86"/>
        <v>#REF!</v>
      </c>
      <c r="O398" s="409" t="e">
        <f>'07'!#REF!</f>
        <v>#REF!</v>
      </c>
      <c r="P398" s="409" t="e">
        <f t="shared" si="87"/>
        <v>#REF!</v>
      </c>
    </row>
    <row r="399" spans="1:16" ht="24.75" customHeight="1" hidden="1">
      <c r="A399" s="431" t="s">
        <v>143</v>
      </c>
      <c r="B399" s="432" t="s">
        <v>142</v>
      </c>
      <c r="C399" s="404">
        <f t="shared" si="90"/>
        <v>4418051</v>
      </c>
      <c r="D399" s="404">
        <f t="shared" si="91"/>
        <v>108583</v>
      </c>
      <c r="E399" s="409">
        <v>10903</v>
      </c>
      <c r="F399" s="409">
        <v>0</v>
      </c>
      <c r="G399" s="409">
        <v>61780</v>
      </c>
      <c r="H399" s="409">
        <v>0</v>
      </c>
      <c r="I399" s="409">
        <v>35900</v>
      </c>
      <c r="J399" s="409">
        <v>0</v>
      </c>
      <c r="K399" s="409">
        <v>0</v>
      </c>
      <c r="L399" s="409">
        <v>4309468</v>
      </c>
      <c r="M399" s="409" t="e">
        <f>'03'!#REF!+'04'!#REF!</f>
        <v>#REF!</v>
      </c>
      <c r="N399" s="409" t="e">
        <f t="shared" si="86"/>
        <v>#REF!</v>
      </c>
      <c r="O399" s="409" t="e">
        <f>'07'!#REF!</f>
        <v>#REF!</v>
      </c>
      <c r="P399" s="409" t="e">
        <f t="shared" si="87"/>
        <v>#REF!</v>
      </c>
    </row>
    <row r="400" spans="1:16" ht="24.75" customHeight="1" hidden="1">
      <c r="A400" s="431" t="s">
        <v>145</v>
      </c>
      <c r="B400" s="432" t="s">
        <v>144</v>
      </c>
      <c r="C400" s="404">
        <f t="shared" si="90"/>
        <v>50472</v>
      </c>
      <c r="D400" s="404">
        <f t="shared" si="91"/>
        <v>50472</v>
      </c>
      <c r="E400" s="409">
        <v>1472</v>
      </c>
      <c r="F400" s="409">
        <v>0</v>
      </c>
      <c r="G400" s="409">
        <v>0</v>
      </c>
      <c r="H400" s="409">
        <v>0</v>
      </c>
      <c r="I400" s="409">
        <v>49000</v>
      </c>
      <c r="J400" s="409">
        <v>0</v>
      </c>
      <c r="K400" s="409">
        <v>0</v>
      </c>
      <c r="L400" s="409">
        <v>0</v>
      </c>
      <c r="M400" s="409" t="e">
        <f>'03'!#REF!+'04'!#REF!</f>
        <v>#REF!</v>
      </c>
      <c r="N400" s="409" t="e">
        <f t="shared" si="86"/>
        <v>#REF!</v>
      </c>
      <c r="O400" s="409" t="e">
        <f>'07'!#REF!</f>
        <v>#REF!</v>
      </c>
      <c r="P400" s="409" t="e">
        <f t="shared" si="87"/>
        <v>#REF!</v>
      </c>
    </row>
    <row r="401" spans="1:16" ht="24.75" customHeight="1" hidden="1">
      <c r="A401" s="431" t="s">
        <v>147</v>
      </c>
      <c r="B401" s="432" t="s">
        <v>146</v>
      </c>
      <c r="C401" s="404">
        <f t="shared" si="90"/>
        <v>0</v>
      </c>
      <c r="D401" s="404">
        <f t="shared" si="91"/>
        <v>0</v>
      </c>
      <c r="E401" s="409">
        <v>0</v>
      </c>
      <c r="F401" s="409">
        <v>0</v>
      </c>
      <c r="G401" s="409">
        <v>0</v>
      </c>
      <c r="H401" s="409">
        <v>0</v>
      </c>
      <c r="I401" s="409">
        <v>0</v>
      </c>
      <c r="J401" s="409">
        <v>0</v>
      </c>
      <c r="K401" s="409">
        <v>0</v>
      </c>
      <c r="L401" s="409">
        <v>0</v>
      </c>
      <c r="M401" s="409" t="e">
        <f>'03'!#REF!+'04'!#REF!</f>
        <v>#REF!</v>
      </c>
      <c r="N401" s="409" t="e">
        <f t="shared" si="86"/>
        <v>#REF!</v>
      </c>
      <c r="O401" s="409" t="e">
        <f>'07'!#REF!</f>
        <v>#REF!</v>
      </c>
      <c r="P401" s="409" t="e">
        <f t="shared" si="87"/>
        <v>#REF!</v>
      </c>
    </row>
    <row r="402" spans="1:16" ht="24.75" customHeight="1" hidden="1">
      <c r="A402" s="431" t="s">
        <v>149</v>
      </c>
      <c r="B402" s="434" t="s">
        <v>148</v>
      </c>
      <c r="C402" s="404">
        <f t="shared" si="90"/>
        <v>0</v>
      </c>
      <c r="D402" s="404">
        <f t="shared" si="91"/>
        <v>0</v>
      </c>
      <c r="E402" s="409">
        <v>0</v>
      </c>
      <c r="F402" s="409">
        <v>0</v>
      </c>
      <c r="G402" s="409">
        <v>0</v>
      </c>
      <c r="H402" s="409">
        <v>0</v>
      </c>
      <c r="I402" s="409">
        <v>0</v>
      </c>
      <c r="J402" s="409">
        <v>0</v>
      </c>
      <c r="K402" s="409">
        <v>0</v>
      </c>
      <c r="L402" s="409">
        <v>0</v>
      </c>
      <c r="M402" s="409" t="e">
        <f>'03'!#REF!+'04'!#REF!</f>
        <v>#REF!</v>
      </c>
      <c r="N402" s="409" t="e">
        <f t="shared" si="86"/>
        <v>#REF!</v>
      </c>
      <c r="O402" s="409" t="e">
        <f>'07'!#REF!</f>
        <v>#REF!</v>
      </c>
      <c r="P402" s="409" t="e">
        <f t="shared" si="87"/>
        <v>#REF!</v>
      </c>
    </row>
    <row r="403" spans="1:16" ht="24.75" customHeight="1" hidden="1">
      <c r="A403" s="431" t="s">
        <v>186</v>
      </c>
      <c r="B403" s="432" t="s">
        <v>150</v>
      </c>
      <c r="C403" s="404">
        <f t="shared" si="90"/>
        <v>1723723</v>
      </c>
      <c r="D403" s="404">
        <f t="shared" si="91"/>
        <v>244953</v>
      </c>
      <c r="E403" s="409">
        <v>237953</v>
      </c>
      <c r="F403" s="409">
        <v>0</v>
      </c>
      <c r="G403" s="409">
        <v>7000</v>
      </c>
      <c r="H403" s="409">
        <v>0</v>
      </c>
      <c r="I403" s="409">
        <v>0</v>
      </c>
      <c r="J403" s="409">
        <v>0</v>
      </c>
      <c r="K403" s="409">
        <v>0</v>
      </c>
      <c r="L403" s="409">
        <v>1478770</v>
      </c>
      <c r="M403" s="409" t="e">
        <f>'03'!#REF!+'04'!#REF!</f>
        <v>#REF!</v>
      </c>
      <c r="N403" s="409" t="e">
        <f t="shared" si="86"/>
        <v>#REF!</v>
      </c>
      <c r="O403" s="409" t="e">
        <f>'07'!#REF!</f>
        <v>#REF!</v>
      </c>
      <c r="P403" s="409" t="e">
        <f t="shared" si="87"/>
        <v>#REF!</v>
      </c>
    </row>
    <row r="404" spans="1:16" ht="24.75" customHeight="1" hidden="1">
      <c r="A404" s="394" t="s">
        <v>53</v>
      </c>
      <c r="B404" s="395" t="s">
        <v>151</v>
      </c>
      <c r="C404" s="404">
        <f t="shared" si="90"/>
        <v>675451</v>
      </c>
      <c r="D404" s="404">
        <f t="shared" si="91"/>
        <v>675451</v>
      </c>
      <c r="E404" s="409">
        <v>76621</v>
      </c>
      <c r="F404" s="409">
        <v>0</v>
      </c>
      <c r="G404" s="409">
        <v>299130</v>
      </c>
      <c r="H404" s="409">
        <v>108500</v>
      </c>
      <c r="I404" s="409">
        <v>191200</v>
      </c>
      <c r="J404" s="409">
        <v>0</v>
      </c>
      <c r="K404" s="409">
        <v>0</v>
      </c>
      <c r="L404" s="409">
        <v>0</v>
      </c>
      <c r="M404" s="404" t="e">
        <f>'03'!#REF!+'04'!#REF!</f>
        <v>#REF!</v>
      </c>
      <c r="N404" s="404" t="e">
        <f t="shared" si="86"/>
        <v>#REF!</v>
      </c>
      <c r="O404" s="404" t="e">
        <f>'07'!#REF!</f>
        <v>#REF!</v>
      </c>
      <c r="P404" s="404" t="e">
        <f t="shared" si="87"/>
        <v>#REF!</v>
      </c>
    </row>
    <row r="405" spans="1:16" ht="24.75" customHeight="1" hidden="1">
      <c r="A405" s="463" t="s">
        <v>76</v>
      </c>
      <c r="B405" s="492" t="s">
        <v>215</v>
      </c>
      <c r="C405" s="476">
        <f>(C396+C397+C398)/C395</f>
        <v>0.014745924492631016</v>
      </c>
      <c r="D405" s="396">
        <f aca="true" t="shared" si="92" ref="D405:L405">(D396+D397+D398)/D395</f>
        <v>0.16541929619798176</v>
      </c>
      <c r="E405" s="414">
        <f t="shared" si="92"/>
        <v>0.017658969971902617</v>
      </c>
      <c r="F405" s="414" t="e">
        <f t="shared" si="92"/>
        <v>#DIV/0!</v>
      </c>
      <c r="G405" s="414">
        <f t="shared" si="92"/>
        <v>0.17411143131604226</v>
      </c>
      <c r="H405" s="414">
        <f t="shared" si="92"/>
        <v>1</v>
      </c>
      <c r="I405" s="414">
        <f t="shared" si="92"/>
        <v>0.01737248411476719</v>
      </c>
      <c r="J405" s="414">
        <f t="shared" si="92"/>
        <v>1</v>
      </c>
      <c r="K405" s="414" t="e">
        <f t="shared" si="92"/>
        <v>#DIV/0!</v>
      </c>
      <c r="L405" s="414">
        <f t="shared" si="92"/>
        <v>0.0021720999621089227</v>
      </c>
      <c r="M405" s="425"/>
      <c r="N405" s="493"/>
      <c r="O405" s="493"/>
      <c r="P405" s="493"/>
    </row>
    <row r="406" spans="1:16" ht="17.25" hidden="1">
      <c r="A406" s="1515" t="s">
        <v>500</v>
      </c>
      <c r="B406" s="1515"/>
      <c r="C406" s="409">
        <f>C389-C392-C393-C394</f>
        <v>0</v>
      </c>
      <c r="D406" s="409">
        <f aca="true" t="shared" si="93" ref="D406:L406">D389-D392-D393-D394</f>
        <v>0</v>
      </c>
      <c r="E406" s="409">
        <f t="shared" si="93"/>
        <v>0</v>
      </c>
      <c r="F406" s="409">
        <f t="shared" si="93"/>
        <v>0</v>
      </c>
      <c r="G406" s="409">
        <f t="shared" si="93"/>
        <v>0</v>
      </c>
      <c r="H406" s="409">
        <f t="shared" si="93"/>
        <v>0</v>
      </c>
      <c r="I406" s="409">
        <f t="shared" si="93"/>
        <v>0</v>
      </c>
      <c r="J406" s="409">
        <f t="shared" si="93"/>
        <v>0</v>
      </c>
      <c r="K406" s="409">
        <f t="shared" si="93"/>
        <v>0</v>
      </c>
      <c r="L406" s="409">
        <f t="shared" si="93"/>
        <v>0</v>
      </c>
      <c r="M406" s="425"/>
      <c r="N406" s="493"/>
      <c r="O406" s="493"/>
      <c r="P406" s="493"/>
    </row>
    <row r="407" spans="1:16" ht="17.25" hidden="1">
      <c r="A407" s="1516" t="s">
        <v>501</v>
      </c>
      <c r="B407" s="1516"/>
      <c r="C407" s="409">
        <f>C394-C395-C404</f>
        <v>0</v>
      </c>
      <c r="D407" s="409">
        <f aca="true" t="shared" si="94" ref="D407:L407">D394-D395-D404</f>
        <v>0</v>
      </c>
      <c r="E407" s="409">
        <f t="shared" si="94"/>
        <v>0</v>
      </c>
      <c r="F407" s="409">
        <f t="shared" si="94"/>
        <v>0</v>
      </c>
      <c r="G407" s="409">
        <f t="shared" si="94"/>
        <v>0</v>
      </c>
      <c r="H407" s="409">
        <f t="shared" si="94"/>
        <v>0</v>
      </c>
      <c r="I407" s="409">
        <f t="shared" si="94"/>
        <v>0</v>
      </c>
      <c r="J407" s="409">
        <f t="shared" si="94"/>
        <v>0</v>
      </c>
      <c r="K407" s="409">
        <f t="shared" si="94"/>
        <v>0</v>
      </c>
      <c r="L407" s="409">
        <f t="shared" si="94"/>
        <v>0</v>
      </c>
      <c r="M407" s="425"/>
      <c r="N407" s="493"/>
      <c r="O407" s="493"/>
      <c r="P407" s="493"/>
    </row>
    <row r="408" spans="1:16" ht="18.75" hidden="1">
      <c r="A408" s="478"/>
      <c r="B408" s="494" t="s">
        <v>520</v>
      </c>
      <c r="C408" s="494"/>
      <c r="D408" s="466"/>
      <c r="E408" s="466"/>
      <c r="F408" s="466"/>
      <c r="G408" s="1518" t="s">
        <v>520</v>
      </c>
      <c r="H408" s="1518"/>
      <c r="I408" s="1518"/>
      <c r="J408" s="1518"/>
      <c r="K408" s="1518"/>
      <c r="L408" s="1518"/>
      <c r="M408" s="481"/>
      <c r="N408" s="481"/>
      <c r="O408" s="481"/>
      <c r="P408" s="481"/>
    </row>
    <row r="409" spans="1:16" ht="18.75" hidden="1">
      <c r="A409" s="1551" t="s">
        <v>4</v>
      </c>
      <c r="B409" s="1551"/>
      <c r="C409" s="1551"/>
      <c r="D409" s="1551"/>
      <c r="E409" s="466"/>
      <c r="F409" s="466"/>
      <c r="G409" s="495"/>
      <c r="H409" s="1552" t="s">
        <v>521</v>
      </c>
      <c r="I409" s="1552"/>
      <c r="J409" s="1552"/>
      <c r="K409" s="1552"/>
      <c r="L409" s="1552"/>
      <c r="M409" s="481"/>
      <c r="N409" s="481"/>
      <c r="O409" s="481"/>
      <c r="P409" s="481"/>
    </row>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spans="1:13" ht="16.5" hidden="1">
      <c r="A426" s="1540" t="s">
        <v>33</v>
      </c>
      <c r="B426" s="1541"/>
      <c r="C426" s="477"/>
      <c r="D426" s="1532" t="s">
        <v>79</v>
      </c>
      <c r="E426" s="1532"/>
      <c r="F426" s="1532"/>
      <c r="G426" s="1532"/>
      <c r="H426" s="1532"/>
      <c r="I426" s="1532"/>
      <c r="J426" s="1532"/>
      <c r="K426" s="1542"/>
      <c r="L426" s="1542"/>
      <c r="M426" s="481"/>
    </row>
    <row r="427" spans="1:13" ht="16.5" hidden="1">
      <c r="A427" s="1495" t="s">
        <v>344</v>
      </c>
      <c r="B427" s="1495"/>
      <c r="C427" s="1495"/>
      <c r="D427" s="1532" t="s">
        <v>216</v>
      </c>
      <c r="E427" s="1532"/>
      <c r="F427" s="1532"/>
      <c r="G427" s="1532"/>
      <c r="H427" s="1532"/>
      <c r="I427" s="1532"/>
      <c r="J427" s="1532"/>
      <c r="K427" s="1539" t="s">
        <v>516</v>
      </c>
      <c r="L427" s="1539"/>
      <c r="M427" s="478"/>
    </row>
    <row r="428" spans="1:13" ht="16.5" hidden="1">
      <c r="A428" s="1495" t="s">
        <v>345</v>
      </c>
      <c r="B428" s="1495"/>
      <c r="C428" s="415"/>
      <c r="D428" s="1543" t="s">
        <v>11</v>
      </c>
      <c r="E428" s="1543"/>
      <c r="F428" s="1543"/>
      <c r="G428" s="1543"/>
      <c r="H428" s="1543"/>
      <c r="I428" s="1543"/>
      <c r="J428" s="1543"/>
      <c r="K428" s="1542"/>
      <c r="L428" s="1542"/>
      <c r="M428" s="481"/>
    </row>
    <row r="429" spans="1:13" ht="15.75" hidden="1">
      <c r="A429" s="436" t="s">
        <v>119</v>
      </c>
      <c r="B429" s="436"/>
      <c r="C429" s="421"/>
      <c r="D429" s="482"/>
      <c r="E429" s="482"/>
      <c r="F429" s="483"/>
      <c r="G429" s="483"/>
      <c r="H429" s="483"/>
      <c r="I429" s="483"/>
      <c r="J429" s="483"/>
      <c r="K429" s="1544"/>
      <c r="L429" s="1544"/>
      <c r="M429" s="478"/>
    </row>
    <row r="430" spans="1:13" ht="15.75" hidden="1">
      <c r="A430" s="482"/>
      <c r="B430" s="482" t="s">
        <v>94</v>
      </c>
      <c r="C430" s="482"/>
      <c r="D430" s="482"/>
      <c r="E430" s="482"/>
      <c r="F430" s="482"/>
      <c r="G430" s="482"/>
      <c r="H430" s="482"/>
      <c r="I430" s="482"/>
      <c r="J430" s="482"/>
      <c r="K430" s="1534"/>
      <c r="L430" s="1534"/>
      <c r="M430" s="478"/>
    </row>
    <row r="431" spans="1:13" ht="15.75" hidden="1">
      <c r="A431" s="1143" t="s">
        <v>71</v>
      </c>
      <c r="B431" s="1144"/>
      <c r="C431" s="1509" t="s">
        <v>38</v>
      </c>
      <c r="D431" s="1519" t="s">
        <v>339</v>
      </c>
      <c r="E431" s="1519"/>
      <c r="F431" s="1519"/>
      <c r="G431" s="1519"/>
      <c r="H431" s="1519"/>
      <c r="I431" s="1519"/>
      <c r="J431" s="1519"/>
      <c r="K431" s="1519"/>
      <c r="L431" s="1519"/>
      <c r="M431" s="481"/>
    </row>
    <row r="432" spans="1:13" ht="15.75" hidden="1">
      <c r="A432" s="1145"/>
      <c r="B432" s="1146"/>
      <c r="C432" s="1509"/>
      <c r="D432" s="1545" t="s">
        <v>207</v>
      </c>
      <c r="E432" s="1546"/>
      <c r="F432" s="1546"/>
      <c r="G432" s="1546"/>
      <c r="H432" s="1546"/>
      <c r="I432" s="1546"/>
      <c r="J432" s="1547"/>
      <c r="K432" s="1548" t="s">
        <v>208</v>
      </c>
      <c r="L432" s="1548" t="s">
        <v>209</v>
      </c>
      <c r="M432" s="478"/>
    </row>
    <row r="433" spans="1:13" ht="15.75" hidden="1">
      <c r="A433" s="1145"/>
      <c r="B433" s="1146"/>
      <c r="C433" s="1509"/>
      <c r="D433" s="1555" t="s">
        <v>37</v>
      </c>
      <c r="E433" s="1556" t="s">
        <v>7</v>
      </c>
      <c r="F433" s="1557"/>
      <c r="G433" s="1557"/>
      <c r="H433" s="1557"/>
      <c r="I433" s="1557"/>
      <c r="J433" s="1558"/>
      <c r="K433" s="1549"/>
      <c r="L433" s="1553"/>
      <c r="M433" s="478"/>
    </row>
    <row r="434" spans="1:16" ht="15.75" hidden="1">
      <c r="A434" s="1513"/>
      <c r="B434" s="1514"/>
      <c r="C434" s="1509"/>
      <c r="D434" s="1555"/>
      <c r="E434" s="484" t="s">
        <v>210</v>
      </c>
      <c r="F434" s="484" t="s">
        <v>211</v>
      </c>
      <c r="G434" s="484" t="s">
        <v>212</v>
      </c>
      <c r="H434" s="484" t="s">
        <v>213</v>
      </c>
      <c r="I434" s="484" t="s">
        <v>346</v>
      </c>
      <c r="J434" s="484" t="s">
        <v>214</v>
      </c>
      <c r="K434" s="1550"/>
      <c r="L434" s="1554"/>
      <c r="M434" s="1507" t="s">
        <v>502</v>
      </c>
      <c r="N434" s="1507"/>
      <c r="O434" s="1507"/>
      <c r="P434" s="1507"/>
    </row>
    <row r="435" spans="1:16" ht="15" hidden="1">
      <c r="A435" s="1511" t="s">
        <v>6</v>
      </c>
      <c r="B435" s="1512"/>
      <c r="C435" s="485">
        <v>1</v>
      </c>
      <c r="D435" s="486">
        <v>2</v>
      </c>
      <c r="E435" s="485">
        <v>3</v>
      </c>
      <c r="F435" s="486">
        <v>4</v>
      </c>
      <c r="G435" s="485">
        <v>5</v>
      </c>
      <c r="H435" s="486">
        <v>6</v>
      </c>
      <c r="I435" s="485">
        <v>7</v>
      </c>
      <c r="J435" s="486">
        <v>8</v>
      </c>
      <c r="K435" s="485">
        <v>9</v>
      </c>
      <c r="L435" s="486">
        <v>10</v>
      </c>
      <c r="M435" s="487" t="s">
        <v>503</v>
      </c>
      <c r="N435" s="488" t="s">
        <v>506</v>
      </c>
      <c r="O435" s="488" t="s">
        <v>504</v>
      </c>
      <c r="P435" s="488" t="s">
        <v>505</v>
      </c>
    </row>
    <row r="436" spans="1:16" ht="24.75" customHeight="1" hidden="1">
      <c r="A436" s="428" t="s">
        <v>0</v>
      </c>
      <c r="B436" s="429" t="s">
        <v>131</v>
      </c>
      <c r="C436" s="404">
        <f>C437+C438</f>
        <v>5449092</v>
      </c>
      <c r="D436" s="404">
        <f aca="true" t="shared" si="95" ref="D436:L436">D437+D438</f>
        <v>447871</v>
      </c>
      <c r="E436" s="404">
        <f t="shared" si="95"/>
        <v>262468</v>
      </c>
      <c r="F436" s="404">
        <f t="shared" si="95"/>
        <v>0</v>
      </c>
      <c r="G436" s="404">
        <f t="shared" si="95"/>
        <v>115140</v>
      </c>
      <c r="H436" s="404">
        <f t="shared" si="95"/>
        <v>16950</v>
      </c>
      <c r="I436" s="404">
        <f t="shared" si="95"/>
        <v>21311</v>
      </c>
      <c r="J436" s="404">
        <f t="shared" si="95"/>
        <v>32002</v>
      </c>
      <c r="K436" s="404">
        <f t="shared" si="95"/>
        <v>0</v>
      </c>
      <c r="L436" s="404">
        <f t="shared" si="95"/>
        <v>5001221</v>
      </c>
      <c r="M436" s="404" t="e">
        <f>'03'!#REF!+'04'!#REF!</f>
        <v>#REF!</v>
      </c>
      <c r="N436" s="404" t="e">
        <f>C436-M436</f>
        <v>#REF!</v>
      </c>
      <c r="O436" s="404" t="e">
        <f>'07'!#REF!</f>
        <v>#REF!</v>
      </c>
      <c r="P436" s="404" t="e">
        <f>C436-O436</f>
        <v>#REF!</v>
      </c>
    </row>
    <row r="437" spans="1:16" ht="24.75" customHeight="1" hidden="1">
      <c r="A437" s="431">
        <v>1</v>
      </c>
      <c r="B437" s="432" t="s">
        <v>132</v>
      </c>
      <c r="C437" s="404">
        <f>D437+K437+L437</f>
        <v>4888044</v>
      </c>
      <c r="D437" s="404">
        <f>E437+F437+G437+H437+I437+J437</f>
        <v>376330</v>
      </c>
      <c r="E437" s="409">
        <v>238379</v>
      </c>
      <c r="F437" s="409"/>
      <c r="G437" s="409">
        <v>115140</v>
      </c>
      <c r="H437" s="409">
        <v>1500</v>
      </c>
      <c r="I437" s="409">
        <v>21311</v>
      </c>
      <c r="J437" s="409"/>
      <c r="K437" s="409"/>
      <c r="L437" s="409">
        <v>4511714</v>
      </c>
      <c r="M437" s="409" t="e">
        <f>'03'!#REF!+'04'!#REF!</f>
        <v>#REF!</v>
      </c>
      <c r="N437" s="409" t="e">
        <f aca="true" t="shared" si="96" ref="N437:N451">C437-M437</f>
        <v>#REF!</v>
      </c>
      <c r="O437" s="409" t="e">
        <f>'07'!#REF!</f>
        <v>#REF!</v>
      </c>
      <c r="P437" s="409" t="e">
        <f aca="true" t="shared" si="97" ref="P437:P451">C437-O437</f>
        <v>#REF!</v>
      </c>
    </row>
    <row r="438" spans="1:16" ht="24.75" customHeight="1" hidden="1">
      <c r="A438" s="431">
        <v>2</v>
      </c>
      <c r="B438" s="432" t="s">
        <v>133</v>
      </c>
      <c r="C438" s="404">
        <f>D438+K438+L438</f>
        <v>561048</v>
      </c>
      <c r="D438" s="404">
        <f>E438+F438+G438+H438+I438+J438</f>
        <v>71541</v>
      </c>
      <c r="E438" s="409">
        <v>24089</v>
      </c>
      <c r="F438" s="409">
        <v>0</v>
      </c>
      <c r="G438" s="409">
        <v>0</v>
      </c>
      <c r="H438" s="409">
        <v>15450</v>
      </c>
      <c r="I438" s="409">
        <v>0</v>
      </c>
      <c r="J438" s="409">
        <v>32002</v>
      </c>
      <c r="K438" s="409">
        <v>0</v>
      </c>
      <c r="L438" s="409">
        <v>489507</v>
      </c>
      <c r="M438" s="409" t="e">
        <f>'03'!#REF!+'04'!#REF!</f>
        <v>#REF!</v>
      </c>
      <c r="N438" s="409" t="e">
        <f t="shared" si="96"/>
        <v>#REF!</v>
      </c>
      <c r="O438" s="409" t="e">
        <f>'07'!#REF!</f>
        <v>#REF!</v>
      </c>
      <c r="P438" s="409" t="e">
        <f t="shared" si="97"/>
        <v>#REF!</v>
      </c>
    </row>
    <row r="439" spans="1:16" ht="24.75" customHeight="1" hidden="1">
      <c r="A439" s="394" t="s">
        <v>1</v>
      </c>
      <c r="B439" s="395" t="s">
        <v>134</v>
      </c>
      <c r="C439" s="404">
        <f>D439+K439+L439</f>
        <v>200</v>
      </c>
      <c r="D439" s="404">
        <f>E439+F439+G439+H439+I439+J439</f>
        <v>200</v>
      </c>
      <c r="E439" s="409">
        <v>200</v>
      </c>
      <c r="F439" s="409">
        <v>0</v>
      </c>
      <c r="G439" s="409">
        <v>0</v>
      </c>
      <c r="H439" s="409">
        <v>0</v>
      </c>
      <c r="I439" s="409">
        <v>0</v>
      </c>
      <c r="J439" s="409">
        <v>0</v>
      </c>
      <c r="K439" s="409">
        <v>0</v>
      </c>
      <c r="L439" s="409">
        <v>0</v>
      </c>
      <c r="M439" s="409" t="e">
        <f>'03'!#REF!+'04'!#REF!</f>
        <v>#REF!</v>
      </c>
      <c r="N439" s="409" t="e">
        <f t="shared" si="96"/>
        <v>#REF!</v>
      </c>
      <c r="O439" s="409" t="e">
        <f>'07'!#REF!</f>
        <v>#REF!</v>
      </c>
      <c r="P439" s="409" t="e">
        <f t="shared" si="97"/>
        <v>#REF!</v>
      </c>
    </row>
    <row r="440" spans="1:16" ht="24.75" customHeight="1" hidden="1">
      <c r="A440" s="394" t="s">
        <v>9</v>
      </c>
      <c r="B440" s="395" t="s">
        <v>135</v>
      </c>
      <c r="C440" s="404">
        <f>D440+K440+L440</f>
        <v>0</v>
      </c>
      <c r="D440" s="404">
        <f>E440+F440+G440+H440+I440+J440</f>
        <v>0</v>
      </c>
      <c r="E440" s="409">
        <v>0</v>
      </c>
      <c r="F440" s="409">
        <v>0</v>
      </c>
      <c r="G440" s="409">
        <v>0</v>
      </c>
      <c r="H440" s="409">
        <v>0</v>
      </c>
      <c r="I440" s="409">
        <v>0</v>
      </c>
      <c r="J440" s="409">
        <v>0</v>
      </c>
      <c r="K440" s="409">
        <v>0</v>
      </c>
      <c r="L440" s="409">
        <v>0</v>
      </c>
      <c r="M440" s="409" t="e">
        <f>'03'!#REF!+'04'!#REF!</f>
        <v>#REF!</v>
      </c>
      <c r="N440" s="409" t="e">
        <f t="shared" si="96"/>
        <v>#REF!</v>
      </c>
      <c r="O440" s="409" t="e">
        <f>'07'!#REF!</f>
        <v>#REF!</v>
      </c>
      <c r="P440" s="409" t="e">
        <f t="shared" si="97"/>
        <v>#REF!</v>
      </c>
    </row>
    <row r="441" spans="1:16" ht="24.75" customHeight="1" hidden="1">
      <c r="A441" s="394" t="s">
        <v>136</v>
      </c>
      <c r="B441" s="395" t="s">
        <v>137</v>
      </c>
      <c r="C441" s="404">
        <f>C442+C451</f>
        <v>5448892</v>
      </c>
      <c r="D441" s="404">
        <f aca="true" t="shared" si="98" ref="D441:L441">D442+D451</f>
        <v>447671</v>
      </c>
      <c r="E441" s="404">
        <f t="shared" si="98"/>
        <v>262268</v>
      </c>
      <c r="F441" s="404">
        <f t="shared" si="98"/>
        <v>0</v>
      </c>
      <c r="G441" s="404">
        <f t="shared" si="98"/>
        <v>115140</v>
      </c>
      <c r="H441" s="404">
        <f t="shared" si="98"/>
        <v>16950</v>
      </c>
      <c r="I441" s="404">
        <f t="shared" si="98"/>
        <v>21311</v>
      </c>
      <c r="J441" s="404">
        <f t="shared" si="98"/>
        <v>32002</v>
      </c>
      <c r="K441" s="404">
        <f t="shared" si="98"/>
        <v>0</v>
      </c>
      <c r="L441" s="404">
        <f t="shared" si="98"/>
        <v>5001221</v>
      </c>
      <c r="M441" s="404" t="e">
        <f>'03'!#REF!+'04'!#REF!</f>
        <v>#REF!</v>
      </c>
      <c r="N441" s="404" t="e">
        <f t="shared" si="96"/>
        <v>#REF!</v>
      </c>
      <c r="O441" s="404" t="e">
        <f>'07'!#REF!</f>
        <v>#REF!</v>
      </c>
      <c r="P441" s="404" t="e">
        <f t="shared" si="97"/>
        <v>#REF!</v>
      </c>
    </row>
    <row r="442" spans="1:16" ht="24.75" customHeight="1" hidden="1">
      <c r="A442" s="394" t="s">
        <v>52</v>
      </c>
      <c r="B442" s="433" t="s">
        <v>138</v>
      </c>
      <c r="C442" s="404">
        <f>SUM(C443:C450)</f>
        <v>5109785</v>
      </c>
      <c r="D442" s="404">
        <f aca="true" t="shared" si="99" ref="D442:L442">SUM(D443:D450)</f>
        <v>108564</v>
      </c>
      <c r="E442" s="404">
        <f t="shared" si="99"/>
        <v>56612</v>
      </c>
      <c r="F442" s="404">
        <f t="shared" si="99"/>
        <v>0</v>
      </c>
      <c r="G442" s="404">
        <f t="shared" si="99"/>
        <v>4500</v>
      </c>
      <c r="H442" s="404">
        <f t="shared" si="99"/>
        <v>15450</v>
      </c>
      <c r="I442" s="404">
        <f t="shared" si="99"/>
        <v>0</v>
      </c>
      <c r="J442" s="404">
        <f t="shared" si="99"/>
        <v>32002</v>
      </c>
      <c r="K442" s="404">
        <f t="shared" si="99"/>
        <v>0</v>
      </c>
      <c r="L442" s="404">
        <f t="shared" si="99"/>
        <v>5001221</v>
      </c>
      <c r="M442" s="404" t="e">
        <f>'03'!#REF!+'04'!#REF!</f>
        <v>#REF!</v>
      </c>
      <c r="N442" s="404" t="e">
        <f t="shared" si="96"/>
        <v>#REF!</v>
      </c>
      <c r="O442" s="404" t="e">
        <f>'07'!#REF!</f>
        <v>#REF!</v>
      </c>
      <c r="P442" s="404" t="e">
        <f t="shared" si="97"/>
        <v>#REF!</v>
      </c>
    </row>
    <row r="443" spans="1:16" ht="24.75" customHeight="1" hidden="1">
      <c r="A443" s="431" t="s">
        <v>54</v>
      </c>
      <c r="B443" s="432" t="s">
        <v>139</v>
      </c>
      <c r="C443" s="404">
        <f aca="true" t="shared" si="100" ref="C443:C451">D443+K443+L443</f>
        <v>96608</v>
      </c>
      <c r="D443" s="404">
        <f aca="true" t="shared" si="101" ref="D443:D451">E443+F443+G443+H443+I443+J443</f>
        <v>53844</v>
      </c>
      <c r="E443" s="409">
        <v>9692</v>
      </c>
      <c r="F443" s="409">
        <v>0</v>
      </c>
      <c r="G443" s="409">
        <v>0</v>
      </c>
      <c r="H443" s="409">
        <v>12150</v>
      </c>
      <c r="I443" s="409">
        <v>0</v>
      </c>
      <c r="J443" s="409">
        <v>32002</v>
      </c>
      <c r="K443" s="409">
        <v>0</v>
      </c>
      <c r="L443" s="409">
        <v>42764</v>
      </c>
      <c r="M443" s="409" t="e">
        <f>'03'!#REF!+'04'!#REF!</f>
        <v>#REF!</v>
      </c>
      <c r="N443" s="409" t="e">
        <f t="shared" si="96"/>
        <v>#REF!</v>
      </c>
      <c r="O443" s="409" t="e">
        <f>'07'!#REF!</f>
        <v>#REF!</v>
      </c>
      <c r="P443" s="409" t="e">
        <f t="shared" si="97"/>
        <v>#REF!</v>
      </c>
    </row>
    <row r="444" spans="1:16" ht="24.75" customHeight="1" hidden="1">
      <c r="A444" s="431" t="s">
        <v>55</v>
      </c>
      <c r="B444" s="432" t="s">
        <v>140</v>
      </c>
      <c r="C444" s="404">
        <f t="shared" si="100"/>
        <v>0</v>
      </c>
      <c r="D444" s="404">
        <f t="shared" si="101"/>
        <v>0</v>
      </c>
      <c r="E444" s="409">
        <v>0</v>
      </c>
      <c r="F444" s="409">
        <v>0</v>
      </c>
      <c r="G444" s="409">
        <v>0</v>
      </c>
      <c r="H444" s="409">
        <v>0</v>
      </c>
      <c r="I444" s="409">
        <v>0</v>
      </c>
      <c r="J444" s="409">
        <v>0</v>
      </c>
      <c r="K444" s="409">
        <v>0</v>
      </c>
      <c r="L444" s="409">
        <v>0</v>
      </c>
      <c r="M444" s="409" t="e">
        <f>'03'!#REF!+'04'!#REF!</f>
        <v>#REF!</v>
      </c>
      <c r="N444" s="409" t="e">
        <f t="shared" si="96"/>
        <v>#REF!</v>
      </c>
      <c r="O444" s="409" t="e">
        <f>'07'!#REF!</f>
        <v>#REF!</v>
      </c>
      <c r="P444" s="409" t="e">
        <f t="shared" si="97"/>
        <v>#REF!</v>
      </c>
    </row>
    <row r="445" spans="1:16" ht="24.75" customHeight="1" hidden="1">
      <c r="A445" s="431" t="s">
        <v>141</v>
      </c>
      <c r="B445" s="432" t="s">
        <v>202</v>
      </c>
      <c r="C445" s="404">
        <f t="shared" si="100"/>
        <v>0</v>
      </c>
      <c r="D445" s="404">
        <f t="shared" si="101"/>
        <v>0</v>
      </c>
      <c r="E445" s="409">
        <v>0</v>
      </c>
      <c r="F445" s="409">
        <v>0</v>
      </c>
      <c r="G445" s="409">
        <v>0</v>
      </c>
      <c r="H445" s="409">
        <v>0</v>
      </c>
      <c r="I445" s="409">
        <v>0</v>
      </c>
      <c r="J445" s="409">
        <v>0</v>
      </c>
      <c r="K445" s="409">
        <v>0</v>
      </c>
      <c r="L445" s="409">
        <v>0</v>
      </c>
      <c r="M445" s="409" t="e">
        <f>'03'!#REF!</f>
        <v>#REF!</v>
      </c>
      <c r="N445" s="409" t="e">
        <f t="shared" si="96"/>
        <v>#REF!</v>
      </c>
      <c r="O445" s="409" t="e">
        <f>'07'!#REF!</f>
        <v>#REF!</v>
      </c>
      <c r="P445" s="409" t="e">
        <f t="shared" si="97"/>
        <v>#REF!</v>
      </c>
    </row>
    <row r="446" spans="1:16" ht="24.75" customHeight="1" hidden="1">
      <c r="A446" s="431" t="s">
        <v>143</v>
      </c>
      <c r="B446" s="432" t="s">
        <v>142</v>
      </c>
      <c r="C446" s="404">
        <f t="shared" si="100"/>
        <v>539464</v>
      </c>
      <c r="D446" s="404">
        <f t="shared" si="101"/>
        <v>54720</v>
      </c>
      <c r="E446" s="409">
        <v>46920</v>
      </c>
      <c r="F446" s="409"/>
      <c r="G446" s="409">
        <v>4500</v>
      </c>
      <c r="H446" s="409">
        <v>3300</v>
      </c>
      <c r="I446" s="409">
        <v>0</v>
      </c>
      <c r="J446" s="409">
        <v>0</v>
      </c>
      <c r="K446" s="409">
        <v>0</v>
      </c>
      <c r="L446" s="409">
        <v>484744</v>
      </c>
      <c r="M446" s="409" t="e">
        <f>'03'!#REF!+'04'!#REF!</f>
        <v>#REF!</v>
      </c>
      <c r="N446" s="409" t="e">
        <f t="shared" si="96"/>
        <v>#REF!</v>
      </c>
      <c r="O446" s="409" t="e">
        <f>'07'!#REF!</f>
        <v>#REF!</v>
      </c>
      <c r="P446" s="409" t="e">
        <f t="shared" si="97"/>
        <v>#REF!</v>
      </c>
    </row>
    <row r="447" spans="1:16" ht="24.75" customHeight="1" hidden="1">
      <c r="A447" s="431" t="s">
        <v>145</v>
      </c>
      <c r="B447" s="432" t="s">
        <v>144</v>
      </c>
      <c r="C447" s="404">
        <f t="shared" si="100"/>
        <v>1936348</v>
      </c>
      <c r="D447" s="404">
        <f t="shared" si="101"/>
        <v>0</v>
      </c>
      <c r="E447" s="409">
        <v>0</v>
      </c>
      <c r="F447" s="409">
        <v>0</v>
      </c>
      <c r="G447" s="409">
        <v>0</v>
      </c>
      <c r="H447" s="409">
        <v>0</v>
      </c>
      <c r="I447" s="409">
        <v>0</v>
      </c>
      <c r="J447" s="409">
        <v>0</v>
      </c>
      <c r="K447" s="409">
        <v>0</v>
      </c>
      <c r="L447" s="409">
        <v>1936348</v>
      </c>
      <c r="M447" s="409" t="e">
        <f>'03'!#REF!+'04'!#REF!</f>
        <v>#REF!</v>
      </c>
      <c r="N447" s="409" t="e">
        <f t="shared" si="96"/>
        <v>#REF!</v>
      </c>
      <c r="O447" s="409" t="e">
        <f>'07'!#REF!</f>
        <v>#REF!</v>
      </c>
      <c r="P447" s="409" t="e">
        <f t="shared" si="97"/>
        <v>#REF!</v>
      </c>
    </row>
    <row r="448" spans="1:16" ht="24.75" customHeight="1" hidden="1">
      <c r="A448" s="431" t="s">
        <v>147</v>
      </c>
      <c r="B448" s="432" t="s">
        <v>146</v>
      </c>
      <c r="C448" s="404">
        <f t="shared" si="100"/>
        <v>0</v>
      </c>
      <c r="D448" s="404">
        <f t="shared" si="101"/>
        <v>0</v>
      </c>
      <c r="E448" s="409">
        <v>0</v>
      </c>
      <c r="F448" s="409">
        <v>0</v>
      </c>
      <c r="G448" s="409">
        <v>0</v>
      </c>
      <c r="H448" s="409">
        <v>0</v>
      </c>
      <c r="I448" s="409">
        <v>0</v>
      </c>
      <c r="J448" s="409">
        <v>0</v>
      </c>
      <c r="K448" s="409">
        <v>0</v>
      </c>
      <c r="L448" s="409">
        <v>0</v>
      </c>
      <c r="M448" s="409" t="e">
        <f>'03'!#REF!+'04'!#REF!</f>
        <v>#REF!</v>
      </c>
      <c r="N448" s="409" t="e">
        <f t="shared" si="96"/>
        <v>#REF!</v>
      </c>
      <c r="O448" s="409" t="e">
        <f>'07'!#REF!</f>
        <v>#REF!</v>
      </c>
      <c r="P448" s="409" t="e">
        <f t="shared" si="97"/>
        <v>#REF!</v>
      </c>
    </row>
    <row r="449" spans="1:16" ht="24.75" customHeight="1" hidden="1">
      <c r="A449" s="431" t="s">
        <v>149</v>
      </c>
      <c r="B449" s="434" t="s">
        <v>148</v>
      </c>
      <c r="C449" s="404">
        <f t="shared" si="100"/>
        <v>0</v>
      </c>
      <c r="D449" s="404">
        <f t="shared" si="101"/>
        <v>0</v>
      </c>
      <c r="E449" s="409">
        <v>0</v>
      </c>
      <c r="F449" s="409">
        <v>0</v>
      </c>
      <c r="G449" s="409">
        <v>0</v>
      </c>
      <c r="H449" s="409">
        <v>0</v>
      </c>
      <c r="I449" s="409">
        <v>0</v>
      </c>
      <c r="J449" s="409">
        <v>0</v>
      </c>
      <c r="K449" s="409">
        <v>0</v>
      </c>
      <c r="L449" s="409">
        <v>0</v>
      </c>
      <c r="M449" s="409" t="e">
        <f>'03'!#REF!+'04'!#REF!</f>
        <v>#REF!</v>
      </c>
      <c r="N449" s="409" t="e">
        <f t="shared" si="96"/>
        <v>#REF!</v>
      </c>
      <c r="O449" s="409" t="e">
        <f>'07'!#REF!</f>
        <v>#REF!</v>
      </c>
      <c r="P449" s="409" t="e">
        <f t="shared" si="97"/>
        <v>#REF!</v>
      </c>
    </row>
    <row r="450" spans="1:16" ht="24.75" customHeight="1" hidden="1">
      <c r="A450" s="431" t="s">
        <v>186</v>
      </c>
      <c r="B450" s="432" t="s">
        <v>150</v>
      </c>
      <c r="C450" s="404">
        <f t="shared" si="100"/>
        <v>2537365</v>
      </c>
      <c r="D450" s="404">
        <f t="shared" si="101"/>
        <v>0</v>
      </c>
      <c r="E450" s="409">
        <v>0</v>
      </c>
      <c r="F450" s="409">
        <v>0</v>
      </c>
      <c r="G450" s="409">
        <v>0</v>
      </c>
      <c r="H450" s="409">
        <v>0</v>
      </c>
      <c r="I450" s="409">
        <v>0</v>
      </c>
      <c r="J450" s="409">
        <v>0</v>
      </c>
      <c r="K450" s="409">
        <v>0</v>
      </c>
      <c r="L450" s="409">
        <v>2537365</v>
      </c>
      <c r="M450" s="409" t="e">
        <f>'03'!#REF!+'04'!#REF!</f>
        <v>#REF!</v>
      </c>
      <c r="N450" s="409" t="e">
        <f t="shared" si="96"/>
        <v>#REF!</v>
      </c>
      <c r="O450" s="409" t="e">
        <f>'07'!#REF!</f>
        <v>#REF!</v>
      </c>
      <c r="P450" s="409" t="e">
        <f t="shared" si="97"/>
        <v>#REF!</v>
      </c>
    </row>
    <row r="451" spans="1:16" ht="24.75" customHeight="1" hidden="1">
      <c r="A451" s="394" t="s">
        <v>53</v>
      </c>
      <c r="B451" s="395" t="s">
        <v>151</v>
      </c>
      <c r="C451" s="404">
        <f t="shared" si="100"/>
        <v>339107</v>
      </c>
      <c r="D451" s="404">
        <f t="shared" si="101"/>
        <v>339107</v>
      </c>
      <c r="E451" s="409">
        <v>205656</v>
      </c>
      <c r="F451" s="409">
        <v>0</v>
      </c>
      <c r="G451" s="409">
        <v>110640</v>
      </c>
      <c r="H451" s="409">
        <v>1500</v>
      </c>
      <c r="I451" s="409">
        <v>21311</v>
      </c>
      <c r="J451" s="409">
        <v>0</v>
      </c>
      <c r="K451" s="409">
        <v>0</v>
      </c>
      <c r="L451" s="409">
        <v>0</v>
      </c>
      <c r="M451" s="404" t="e">
        <f>'03'!#REF!+'04'!#REF!</f>
        <v>#REF!</v>
      </c>
      <c r="N451" s="404" t="e">
        <f t="shared" si="96"/>
        <v>#REF!</v>
      </c>
      <c r="O451" s="404" t="e">
        <f>'07'!#REF!</f>
        <v>#REF!</v>
      </c>
      <c r="P451" s="404" t="e">
        <f t="shared" si="97"/>
        <v>#REF!</v>
      </c>
    </row>
    <row r="452" spans="1:16" ht="24.75" customHeight="1" hidden="1">
      <c r="A452" s="463" t="s">
        <v>76</v>
      </c>
      <c r="B452" s="492" t="s">
        <v>215</v>
      </c>
      <c r="C452" s="476">
        <f>(C443+C444+C445)/C442</f>
        <v>0.0189064706244979</v>
      </c>
      <c r="D452" s="396">
        <f aca="true" t="shared" si="102" ref="D452:L452">(D443+D444+D445)/D442</f>
        <v>0.4959655134298663</v>
      </c>
      <c r="E452" s="414">
        <f t="shared" si="102"/>
        <v>0.1712004522009468</v>
      </c>
      <c r="F452" s="414" t="e">
        <f t="shared" si="102"/>
        <v>#DIV/0!</v>
      </c>
      <c r="G452" s="414">
        <f t="shared" si="102"/>
        <v>0</v>
      </c>
      <c r="H452" s="414">
        <f t="shared" si="102"/>
        <v>0.7864077669902912</v>
      </c>
      <c r="I452" s="414" t="e">
        <f t="shared" si="102"/>
        <v>#DIV/0!</v>
      </c>
      <c r="J452" s="414">
        <f t="shared" si="102"/>
        <v>1</v>
      </c>
      <c r="K452" s="414" t="e">
        <f t="shared" si="102"/>
        <v>#DIV/0!</v>
      </c>
      <c r="L452" s="414">
        <f t="shared" si="102"/>
        <v>0.008550711916150077</v>
      </c>
      <c r="M452" s="425"/>
      <c r="N452" s="493"/>
      <c r="O452" s="493"/>
      <c r="P452" s="493"/>
    </row>
    <row r="453" spans="1:16" ht="17.25" hidden="1">
      <c r="A453" s="1515" t="s">
        <v>500</v>
      </c>
      <c r="B453" s="1515"/>
      <c r="C453" s="409">
        <f>C436-C439-C440-C441</f>
        <v>0</v>
      </c>
      <c r="D453" s="409">
        <f aca="true" t="shared" si="103" ref="D453:L453">D436-D439-D440-D441</f>
        <v>0</v>
      </c>
      <c r="E453" s="409">
        <f t="shared" si="103"/>
        <v>0</v>
      </c>
      <c r="F453" s="409">
        <f t="shared" si="103"/>
        <v>0</v>
      </c>
      <c r="G453" s="409">
        <f t="shared" si="103"/>
        <v>0</v>
      </c>
      <c r="H453" s="409">
        <f t="shared" si="103"/>
        <v>0</v>
      </c>
      <c r="I453" s="409">
        <f t="shared" si="103"/>
        <v>0</v>
      </c>
      <c r="J453" s="409">
        <f t="shared" si="103"/>
        <v>0</v>
      </c>
      <c r="K453" s="409">
        <f t="shared" si="103"/>
        <v>0</v>
      </c>
      <c r="L453" s="409">
        <f t="shared" si="103"/>
        <v>0</v>
      </c>
      <c r="M453" s="425"/>
      <c r="N453" s="493"/>
      <c r="O453" s="493"/>
      <c r="P453" s="493"/>
    </row>
    <row r="454" spans="1:16" ht="17.25" hidden="1">
      <c r="A454" s="1516" t="s">
        <v>501</v>
      </c>
      <c r="B454" s="1516"/>
      <c r="C454" s="409">
        <f>C441-C442-C451</f>
        <v>0</v>
      </c>
      <c r="D454" s="409">
        <f aca="true" t="shared" si="104" ref="D454:L454">D441-D442-D451</f>
        <v>0</v>
      </c>
      <c r="E454" s="409">
        <f t="shared" si="104"/>
        <v>0</v>
      </c>
      <c r="F454" s="409">
        <f t="shared" si="104"/>
        <v>0</v>
      </c>
      <c r="G454" s="409">
        <f t="shared" si="104"/>
        <v>0</v>
      </c>
      <c r="H454" s="409">
        <f t="shared" si="104"/>
        <v>0</v>
      </c>
      <c r="I454" s="409">
        <f t="shared" si="104"/>
        <v>0</v>
      </c>
      <c r="J454" s="409">
        <f t="shared" si="104"/>
        <v>0</v>
      </c>
      <c r="K454" s="409">
        <f t="shared" si="104"/>
        <v>0</v>
      </c>
      <c r="L454" s="409">
        <f t="shared" si="104"/>
        <v>0</v>
      </c>
      <c r="M454" s="425"/>
      <c r="N454" s="493"/>
      <c r="O454" s="493"/>
      <c r="P454" s="493"/>
    </row>
    <row r="455" spans="1:16" ht="18.75" hidden="1">
      <c r="A455" s="478"/>
      <c r="B455" s="494" t="s">
        <v>520</v>
      </c>
      <c r="C455" s="494"/>
      <c r="D455" s="466"/>
      <c r="E455" s="466"/>
      <c r="F455" s="466"/>
      <c r="G455" s="1518" t="s">
        <v>520</v>
      </c>
      <c r="H455" s="1518"/>
      <c r="I455" s="1518"/>
      <c r="J455" s="1518"/>
      <c r="K455" s="1518"/>
      <c r="L455" s="1518"/>
      <c r="M455" s="481"/>
      <c r="N455" s="481"/>
      <c r="O455" s="481"/>
      <c r="P455" s="481"/>
    </row>
    <row r="456" spans="1:16" ht="18.75" hidden="1">
      <c r="A456" s="1551" t="s">
        <v>4</v>
      </c>
      <c r="B456" s="1551"/>
      <c r="C456" s="1551"/>
      <c r="D456" s="1551"/>
      <c r="E456" s="466"/>
      <c r="F456" s="466"/>
      <c r="G456" s="495"/>
      <c r="H456" s="1552" t="s">
        <v>521</v>
      </c>
      <c r="I456" s="1552"/>
      <c r="J456" s="1552"/>
      <c r="K456" s="1552"/>
      <c r="L456" s="1552"/>
      <c r="M456" s="481"/>
      <c r="N456" s="481"/>
      <c r="O456" s="481"/>
      <c r="P456" s="481"/>
    </row>
    <row r="457" ht="15" hidden="1"/>
    <row r="458" ht="15" hidden="1"/>
    <row r="459" ht="15" hidden="1"/>
    <row r="460" ht="15" hidden="1"/>
    <row r="461" ht="15" hidden="1"/>
    <row r="462" ht="15" hidden="1"/>
    <row r="463" ht="15" hidden="1"/>
    <row r="464" ht="15" hidden="1"/>
    <row r="465" ht="15" hidden="1"/>
    <row r="466" ht="15" hidden="1"/>
    <row r="467" ht="15" hidden="1"/>
    <row r="468" spans="1:13" ht="16.5" hidden="1">
      <c r="A468" s="1540" t="s">
        <v>33</v>
      </c>
      <c r="B468" s="1541"/>
      <c r="C468" s="477"/>
      <c r="D468" s="1532" t="s">
        <v>79</v>
      </c>
      <c r="E468" s="1532"/>
      <c r="F468" s="1532"/>
      <c r="G468" s="1532"/>
      <c r="H468" s="1532"/>
      <c r="I468" s="1532"/>
      <c r="J468" s="1532"/>
      <c r="K468" s="1542"/>
      <c r="L468" s="1542"/>
      <c r="M468" s="481"/>
    </row>
    <row r="469" spans="1:13" ht="16.5" hidden="1">
      <c r="A469" s="1495" t="s">
        <v>344</v>
      </c>
      <c r="B469" s="1495"/>
      <c r="C469" s="1495"/>
      <c r="D469" s="1532" t="s">
        <v>216</v>
      </c>
      <c r="E469" s="1532"/>
      <c r="F469" s="1532"/>
      <c r="G469" s="1532"/>
      <c r="H469" s="1532"/>
      <c r="I469" s="1532"/>
      <c r="J469" s="1532"/>
      <c r="K469" s="1539" t="s">
        <v>517</v>
      </c>
      <c r="L469" s="1539"/>
      <c r="M469" s="478"/>
    </row>
    <row r="470" spans="1:13" ht="16.5" hidden="1">
      <c r="A470" s="1495" t="s">
        <v>345</v>
      </c>
      <c r="B470" s="1495"/>
      <c r="C470" s="415"/>
      <c r="D470" s="1543" t="s">
        <v>11</v>
      </c>
      <c r="E470" s="1543"/>
      <c r="F470" s="1543"/>
      <c r="G470" s="1543"/>
      <c r="H470" s="1543"/>
      <c r="I470" s="1543"/>
      <c r="J470" s="1543"/>
      <c r="K470" s="1542"/>
      <c r="L470" s="1542"/>
      <c r="M470" s="481"/>
    </row>
    <row r="471" spans="1:13" ht="15.75" hidden="1">
      <c r="A471" s="436" t="s">
        <v>119</v>
      </c>
      <c r="B471" s="436"/>
      <c r="C471" s="421"/>
      <c r="D471" s="482"/>
      <c r="E471" s="482"/>
      <c r="F471" s="483"/>
      <c r="G471" s="483"/>
      <c r="H471" s="483"/>
      <c r="I471" s="483"/>
      <c r="J471" s="483"/>
      <c r="K471" s="1544"/>
      <c r="L471" s="1544"/>
      <c r="M471" s="478"/>
    </row>
    <row r="472" spans="1:13" ht="15.75" hidden="1">
      <c r="A472" s="482"/>
      <c r="B472" s="482" t="s">
        <v>94</v>
      </c>
      <c r="C472" s="482"/>
      <c r="D472" s="482"/>
      <c r="E472" s="482"/>
      <c r="F472" s="482"/>
      <c r="G472" s="482"/>
      <c r="H472" s="482"/>
      <c r="I472" s="482"/>
      <c r="J472" s="482"/>
      <c r="K472" s="1534"/>
      <c r="L472" s="1534"/>
      <c r="M472" s="478"/>
    </row>
    <row r="473" spans="1:13" ht="15.75" hidden="1">
      <c r="A473" s="1143" t="s">
        <v>71</v>
      </c>
      <c r="B473" s="1144"/>
      <c r="C473" s="1509" t="s">
        <v>38</v>
      </c>
      <c r="D473" s="1519" t="s">
        <v>339</v>
      </c>
      <c r="E473" s="1519"/>
      <c r="F473" s="1519"/>
      <c r="G473" s="1519"/>
      <c r="H473" s="1519"/>
      <c r="I473" s="1519"/>
      <c r="J473" s="1519"/>
      <c r="K473" s="1519"/>
      <c r="L473" s="1519"/>
      <c r="M473" s="481"/>
    </row>
    <row r="474" spans="1:13" ht="15.75" hidden="1">
      <c r="A474" s="1145"/>
      <c r="B474" s="1146"/>
      <c r="C474" s="1509"/>
      <c r="D474" s="1545" t="s">
        <v>207</v>
      </c>
      <c r="E474" s="1546"/>
      <c r="F474" s="1546"/>
      <c r="G474" s="1546"/>
      <c r="H474" s="1546"/>
      <c r="I474" s="1546"/>
      <c r="J474" s="1547"/>
      <c r="K474" s="1548" t="s">
        <v>208</v>
      </c>
      <c r="L474" s="1548" t="s">
        <v>209</v>
      </c>
      <c r="M474" s="478"/>
    </row>
    <row r="475" spans="1:13" ht="15.75" hidden="1">
      <c r="A475" s="1145"/>
      <c r="B475" s="1146"/>
      <c r="C475" s="1509"/>
      <c r="D475" s="1555" t="s">
        <v>37</v>
      </c>
      <c r="E475" s="1556" t="s">
        <v>7</v>
      </c>
      <c r="F475" s="1557"/>
      <c r="G475" s="1557"/>
      <c r="H475" s="1557"/>
      <c r="I475" s="1557"/>
      <c r="J475" s="1558"/>
      <c r="K475" s="1549"/>
      <c r="L475" s="1553"/>
      <c r="M475" s="478"/>
    </row>
    <row r="476" spans="1:16" ht="15.75" hidden="1">
      <c r="A476" s="1513"/>
      <c r="B476" s="1514"/>
      <c r="C476" s="1509"/>
      <c r="D476" s="1555"/>
      <c r="E476" s="484" t="s">
        <v>210</v>
      </c>
      <c r="F476" s="484" t="s">
        <v>211</v>
      </c>
      <c r="G476" s="484" t="s">
        <v>212</v>
      </c>
      <c r="H476" s="484" t="s">
        <v>213</v>
      </c>
      <c r="I476" s="484" t="s">
        <v>346</v>
      </c>
      <c r="J476" s="484" t="s">
        <v>214</v>
      </c>
      <c r="K476" s="1550"/>
      <c r="L476" s="1554"/>
      <c r="M476" s="1507" t="s">
        <v>502</v>
      </c>
      <c r="N476" s="1507"/>
      <c r="O476" s="1507"/>
      <c r="P476" s="1507"/>
    </row>
    <row r="477" spans="1:16" ht="15" hidden="1">
      <c r="A477" s="1511" t="s">
        <v>6</v>
      </c>
      <c r="B477" s="1512"/>
      <c r="C477" s="485">
        <v>1</v>
      </c>
      <c r="D477" s="486">
        <v>2</v>
      </c>
      <c r="E477" s="485">
        <v>3</v>
      </c>
      <c r="F477" s="486">
        <v>4</v>
      </c>
      <c r="G477" s="485">
        <v>5</v>
      </c>
      <c r="H477" s="486">
        <v>6</v>
      </c>
      <c r="I477" s="485">
        <v>7</v>
      </c>
      <c r="J477" s="486">
        <v>8</v>
      </c>
      <c r="K477" s="485">
        <v>9</v>
      </c>
      <c r="L477" s="486">
        <v>10</v>
      </c>
      <c r="M477" s="487" t="s">
        <v>503</v>
      </c>
      <c r="N477" s="488" t="s">
        <v>506</v>
      </c>
      <c r="O477" s="488" t="s">
        <v>504</v>
      </c>
      <c r="P477" s="488" t="s">
        <v>505</v>
      </c>
    </row>
    <row r="478" spans="1:16" ht="24.75" customHeight="1" hidden="1">
      <c r="A478" s="428" t="s">
        <v>0</v>
      </c>
      <c r="B478" s="429" t="s">
        <v>131</v>
      </c>
      <c r="C478" s="404">
        <f>C479+C480</f>
        <v>922525</v>
      </c>
      <c r="D478" s="404">
        <f aca="true" t="shared" si="105" ref="D478:L478">D479+D480</f>
        <v>186914</v>
      </c>
      <c r="E478" s="404">
        <f t="shared" si="105"/>
        <v>67241</v>
      </c>
      <c r="F478" s="404">
        <f t="shared" si="105"/>
        <v>0</v>
      </c>
      <c r="G478" s="404">
        <f t="shared" si="105"/>
        <v>33200</v>
      </c>
      <c r="H478" s="404">
        <f t="shared" si="105"/>
        <v>8506</v>
      </c>
      <c r="I478" s="404">
        <f t="shared" si="105"/>
        <v>63550</v>
      </c>
      <c r="J478" s="404">
        <f t="shared" si="105"/>
        <v>14417</v>
      </c>
      <c r="K478" s="404">
        <f t="shared" si="105"/>
        <v>28000</v>
      </c>
      <c r="L478" s="404">
        <f t="shared" si="105"/>
        <v>707611</v>
      </c>
      <c r="M478" s="404" t="e">
        <f>'03'!#REF!+'04'!#REF!</f>
        <v>#REF!</v>
      </c>
      <c r="N478" s="404" t="e">
        <f>C478-M478</f>
        <v>#REF!</v>
      </c>
      <c r="O478" s="404" t="e">
        <f>'07'!#REF!</f>
        <v>#REF!</v>
      </c>
      <c r="P478" s="404" t="e">
        <f>C478-O478</f>
        <v>#REF!</v>
      </c>
    </row>
    <row r="479" spans="1:16" ht="24.75" customHeight="1" hidden="1">
      <c r="A479" s="431">
        <v>1</v>
      </c>
      <c r="B479" s="432" t="s">
        <v>132</v>
      </c>
      <c r="C479" s="404">
        <f>D479+K479+L479</f>
        <v>642794</v>
      </c>
      <c r="D479" s="404">
        <f>E479+F479+G479+H479+I479+J479</f>
        <v>146594</v>
      </c>
      <c r="E479" s="409">
        <v>52394</v>
      </c>
      <c r="F479" s="409"/>
      <c r="G479" s="409">
        <v>33200</v>
      </c>
      <c r="H479" s="409"/>
      <c r="I479" s="409">
        <v>61000</v>
      </c>
      <c r="J479" s="409"/>
      <c r="K479" s="409"/>
      <c r="L479" s="409">
        <v>496200</v>
      </c>
      <c r="M479" s="409" t="e">
        <f>'03'!#REF!+'04'!#REF!</f>
        <v>#REF!</v>
      </c>
      <c r="N479" s="409" t="e">
        <f aca="true" t="shared" si="106" ref="N479:N493">C479-M479</f>
        <v>#REF!</v>
      </c>
      <c r="O479" s="409" t="e">
        <f>'07'!#REF!</f>
        <v>#REF!</v>
      </c>
      <c r="P479" s="409" t="e">
        <f aca="true" t="shared" si="107" ref="P479:P493">C479-O479</f>
        <v>#REF!</v>
      </c>
    </row>
    <row r="480" spans="1:16" ht="24.75" customHeight="1" hidden="1">
      <c r="A480" s="431">
        <v>2</v>
      </c>
      <c r="B480" s="432" t="s">
        <v>133</v>
      </c>
      <c r="C480" s="404">
        <f>D480+K480+L480</f>
        <v>279731</v>
      </c>
      <c r="D480" s="404">
        <f>E480+F480+G480+H480+I480+J480</f>
        <v>40320</v>
      </c>
      <c r="E480" s="409">
        <v>14847</v>
      </c>
      <c r="F480" s="409"/>
      <c r="G480" s="409"/>
      <c r="H480" s="409">
        <v>8506</v>
      </c>
      <c r="I480" s="409">
        <v>2550</v>
      </c>
      <c r="J480" s="409">
        <v>14417</v>
      </c>
      <c r="K480" s="409">
        <v>28000</v>
      </c>
      <c r="L480" s="409">
        <v>211411</v>
      </c>
      <c r="M480" s="409" t="e">
        <f>'03'!#REF!+'04'!#REF!</f>
        <v>#REF!</v>
      </c>
      <c r="N480" s="409" t="e">
        <f t="shared" si="106"/>
        <v>#REF!</v>
      </c>
      <c r="O480" s="409" t="e">
        <f>'07'!#REF!</f>
        <v>#REF!</v>
      </c>
      <c r="P480" s="409" t="e">
        <f t="shared" si="107"/>
        <v>#REF!</v>
      </c>
    </row>
    <row r="481" spans="1:16" ht="24.75" customHeight="1" hidden="1">
      <c r="A481" s="394" t="s">
        <v>1</v>
      </c>
      <c r="B481" s="395" t="s">
        <v>134</v>
      </c>
      <c r="C481" s="404">
        <f>D481+K481+L481</f>
        <v>950</v>
      </c>
      <c r="D481" s="404">
        <f>E481+F481+G481+H481+I481+J481</f>
        <v>950</v>
      </c>
      <c r="E481" s="409">
        <v>650</v>
      </c>
      <c r="F481" s="409"/>
      <c r="G481" s="409"/>
      <c r="H481" s="409"/>
      <c r="I481" s="409">
        <v>300</v>
      </c>
      <c r="J481" s="409"/>
      <c r="K481" s="409"/>
      <c r="L481" s="409"/>
      <c r="M481" s="409" t="e">
        <f>'03'!#REF!+'04'!#REF!</f>
        <v>#REF!</v>
      </c>
      <c r="N481" s="409" t="e">
        <f t="shared" si="106"/>
        <v>#REF!</v>
      </c>
      <c r="O481" s="409" t="e">
        <f>'07'!#REF!</f>
        <v>#REF!</v>
      </c>
      <c r="P481" s="409" t="e">
        <f t="shared" si="107"/>
        <v>#REF!</v>
      </c>
    </row>
    <row r="482" spans="1:16" ht="24.75" customHeight="1" hidden="1">
      <c r="A482" s="394" t="s">
        <v>9</v>
      </c>
      <c r="B482" s="395" t="s">
        <v>135</v>
      </c>
      <c r="C482" s="404">
        <f>D482+K482+L482</f>
        <v>0</v>
      </c>
      <c r="D482" s="404">
        <f>E482+F482+G482+H482+I482+J482</f>
        <v>0</v>
      </c>
      <c r="E482" s="409"/>
      <c r="F482" s="409"/>
      <c r="G482" s="409"/>
      <c r="H482" s="409"/>
      <c r="I482" s="409"/>
      <c r="J482" s="409"/>
      <c r="K482" s="409"/>
      <c r="L482" s="409"/>
      <c r="M482" s="409" t="e">
        <f>'03'!#REF!+'04'!#REF!</f>
        <v>#REF!</v>
      </c>
      <c r="N482" s="409" t="e">
        <f t="shared" si="106"/>
        <v>#REF!</v>
      </c>
      <c r="O482" s="409" t="e">
        <f>'07'!#REF!</f>
        <v>#REF!</v>
      </c>
      <c r="P482" s="409" t="e">
        <f t="shared" si="107"/>
        <v>#REF!</v>
      </c>
    </row>
    <row r="483" spans="1:16" ht="24.75" customHeight="1" hidden="1">
      <c r="A483" s="394" t="s">
        <v>136</v>
      </c>
      <c r="B483" s="395" t="s">
        <v>137</v>
      </c>
      <c r="C483" s="404">
        <f>C484+C493</f>
        <v>921575</v>
      </c>
      <c r="D483" s="404">
        <f aca="true" t="shared" si="108" ref="D483:L483">D484+D493</f>
        <v>185964</v>
      </c>
      <c r="E483" s="404">
        <f t="shared" si="108"/>
        <v>66591</v>
      </c>
      <c r="F483" s="404">
        <f t="shared" si="108"/>
        <v>0</v>
      </c>
      <c r="G483" s="404">
        <f t="shared" si="108"/>
        <v>33200</v>
      </c>
      <c r="H483" s="404">
        <f t="shared" si="108"/>
        <v>8506</v>
      </c>
      <c r="I483" s="404">
        <f t="shared" si="108"/>
        <v>63250</v>
      </c>
      <c r="J483" s="404">
        <f t="shared" si="108"/>
        <v>14417</v>
      </c>
      <c r="K483" s="404">
        <f t="shared" si="108"/>
        <v>28000</v>
      </c>
      <c r="L483" s="404">
        <f t="shared" si="108"/>
        <v>707611</v>
      </c>
      <c r="M483" s="404" t="e">
        <f>'03'!#REF!+'04'!#REF!</f>
        <v>#REF!</v>
      </c>
      <c r="N483" s="404" t="e">
        <f t="shared" si="106"/>
        <v>#REF!</v>
      </c>
      <c r="O483" s="404" t="e">
        <f>'07'!#REF!</f>
        <v>#REF!</v>
      </c>
      <c r="P483" s="404" t="e">
        <f t="shared" si="107"/>
        <v>#REF!</v>
      </c>
    </row>
    <row r="484" spans="1:16" ht="24.75" customHeight="1" hidden="1">
      <c r="A484" s="394" t="s">
        <v>52</v>
      </c>
      <c r="B484" s="433" t="s">
        <v>138</v>
      </c>
      <c r="C484" s="404">
        <f>SUM(C485:C492)</f>
        <v>798931</v>
      </c>
      <c r="D484" s="404">
        <f aca="true" t="shared" si="109" ref="D484:L484">SUM(D485:D492)</f>
        <v>63320</v>
      </c>
      <c r="E484" s="404">
        <f t="shared" si="109"/>
        <v>40397</v>
      </c>
      <c r="F484" s="404">
        <f t="shared" si="109"/>
        <v>0</v>
      </c>
      <c r="G484" s="404">
        <f t="shared" si="109"/>
        <v>0</v>
      </c>
      <c r="H484" s="404">
        <f t="shared" si="109"/>
        <v>8506</v>
      </c>
      <c r="I484" s="404">
        <f t="shared" si="109"/>
        <v>0</v>
      </c>
      <c r="J484" s="404">
        <f t="shared" si="109"/>
        <v>14417</v>
      </c>
      <c r="K484" s="404">
        <f t="shared" si="109"/>
        <v>28000</v>
      </c>
      <c r="L484" s="404">
        <f t="shared" si="109"/>
        <v>707611</v>
      </c>
      <c r="M484" s="404" t="e">
        <f>'03'!#REF!+'04'!#REF!</f>
        <v>#REF!</v>
      </c>
      <c r="N484" s="404" t="e">
        <f t="shared" si="106"/>
        <v>#REF!</v>
      </c>
      <c r="O484" s="404" t="e">
        <f>'07'!#REF!</f>
        <v>#REF!</v>
      </c>
      <c r="P484" s="404" t="e">
        <f t="shared" si="107"/>
        <v>#REF!</v>
      </c>
    </row>
    <row r="485" spans="1:16" ht="24.75" customHeight="1" hidden="1">
      <c r="A485" s="431" t="s">
        <v>54</v>
      </c>
      <c r="B485" s="432" t="s">
        <v>139</v>
      </c>
      <c r="C485" s="404">
        <f aca="true" t="shared" si="110" ref="C485:C493">D485+K485+L485</f>
        <v>98600</v>
      </c>
      <c r="D485" s="404">
        <f aca="true" t="shared" si="111" ref="D485:D493">E485+F485+G485+H485+I485+J485</f>
        <v>34320</v>
      </c>
      <c r="E485" s="409">
        <v>11397</v>
      </c>
      <c r="F485" s="409"/>
      <c r="G485" s="409"/>
      <c r="H485" s="409">
        <v>8506</v>
      </c>
      <c r="I485" s="409"/>
      <c r="J485" s="409">
        <v>14417</v>
      </c>
      <c r="K485" s="409">
        <v>28000</v>
      </c>
      <c r="L485" s="409">
        <v>36280</v>
      </c>
      <c r="M485" s="409" t="e">
        <f>'03'!#REF!+'04'!#REF!</f>
        <v>#REF!</v>
      </c>
      <c r="N485" s="409" t="e">
        <f t="shared" si="106"/>
        <v>#REF!</v>
      </c>
      <c r="O485" s="409" t="e">
        <f>'07'!#REF!</f>
        <v>#REF!</v>
      </c>
      <c r="P485" s="409" t="e">
        <f t="shared" si="107"/>
        <v>#REF!</v>
      </c>
    </row>
    <row r="486" spans="1:16" ht="24.75" customHeight="1" hidden="1">
      <c r="A486" s="431" t="s">
        <v>55</v>
      </c>
      <c r="B486" s="432" t="s">
        <v>140</v>
      </c>
      <c r="C486" s="404">
        <f t="shared" si="110"/>
        <v>0</v>
      </c>
      <c r="D486" s="404">
        <f t="shared" si="111"/>
        <v>0</v>
      </c>
      <c r="E486" s="409"/>
      <c r="F486" s="409"/>
      <c r="G486" s="409"/>
      <c r="H486" s="409"/>
      <c r="I486" s="409"/>
      <c r="J486" s="409"/>
      <c r="K486" s="409"/>
      <c r="L486" s="409"/>
      <c r="M486" s="409" t="e">
        <f>'03'!#REF!+'04'!#REF!</f>
        <v>#REF!</v>
      </c>
      <c r="N486" s="409" t="e">
        <f t="shared" si="106"/>
        <v>#REF!</v>
      </c>
      <c r="O486" s="409" t="e">
        <f>'07'!#REF!</f>
        <v>#REF!</v>
      </c>
      <c r="P486" s="409" t="e">
        <f t="shared" si="107"/>
        <v>#REF!</v>
      </c>
    </row>
    <row r="487" spans="1:16" ht="24.75" customHeight="1" hidden="1">
      <c r="A487" s="431" t="s">
        <v>141</v>
      </c>
      <c r="B487" s="432" t="s">
        <v>202</v>
      </c>
      <c r="C487" s="404">
        <f t="shared" si="110"/>
        <v>0</v>
      </c>
      <c r="D487" s="404">
        <f t="shared" si="111"/>
        <v>0</v>
      </c>
      <c r="E487" s="409"/>
      <c r="F487" s="409"/>
      <c r="G487" s="409"/>
      <c r="H487" s="409"/>
      <c r="I487" s="409"/>
      <c r="J487" s="409"/>
      <c r="K487" s="409"/>
      <c r="L487" s="409"/>
      <c r="M487" s="409" t="e">
        <f>'03'!#REF!</f>
        <v>#REF!</v>
      </c>
      <c r="N487" s="409" t="e">
        <f t="shared" si="106"/>
        <v>#REF!</v>
      </c>
      <c r="O487" s="409" t="e">
        <f>'07'!#REF!</f>
        <v>#REF!</v>
      </c>
      <c r="P487" s="409" t="e">
        <f t="shared" si="107"/>
        <v>#REF!</v>
      </c>
    </row>
    <row r="488" spans="1:16" ht="24.75" customHeight="1" hidden="1">
      <c r="A488" s="431" t="s">
        <v>143</v>
      </c>
      <c r="B488" s="432" t="s">
        <v>142</v>
      </c>
      <c r="C488" s="404">
        <f t="shared" si="110"/>
        <v>236331</v>
      </c>
      <c r="D488" s="404">
        <f t="shared" si="111"/>
        <v>29000</v>
      </c>
      <c r="E488" s="409">
        <v>29000</v>
      </c>
      <c r="F488" s="409"/>
      <c r="G488" s="409"/>
      <c r="H488" s="409"/>
      <c r="I488" s="409"/>
      <c r="J488" s="409"/>
      <c r="K488" s="409"/>
      <c r="L488" s="409">
        <v>207331</v>
      </c>
      <c r="M488" s="409" t="e">
        <f>'03'!#REF!+'04'!#REF!</f>
        <v>#REF!</v>
      </c>
      <c r="N488" s="409" t="e">
        <f t="shared" si="106"/>
        <v>#REF!</v>
      </c>
      <c r="O488" s="409" t="e">
        <f>'07'!#REF!</f>
        <v>#REF!</v>
      </c>
      <c r="P488" s="409" t="e">
        <f t="shared" si="107"/>
        <v>#REF!</v>
      </c>
    </row>
    <row r="489" spans="1:16" ht="24.75" customHeight="1" hidden="1">
      <c r="A489" s="431" t="s">
        <v>145</v>
      </c>
      <c r="B489" s="432" t="s">
        <v>144</v>
      </c>
      <c r="C489" s="404">
        <f t="shared" si="110"/>
        <v>464000</v>
      </c>
      <c r="D489" s="404">
        <f t="shared" si="111"/>
        <v>0</v>
      </c>
      <c r="E489" s="409"/>
      <c r="F489" s="409"/>
      <c r="G489" s="409"/>
      <c r="H489" s="409"/>
      <c r="I489" s="409"/>
      <c r="J489" s="409"/>
      <c r="K489" s="409"/>
      <c r="L489" s="409">
        <v>464000</v>
      </c>
      <c r="M489" s="409" t="e">
        <f>'03'!#REF!+'04'!#REF!</f>
        <v>#REF!</v>
      </c>
      <c r="N489" s="409" t="e">
        <f t="shared" si="106"/>
        <v>#REF!</v>
      </c>
      <c r="O489" s="409" t="e">
        <f>'07'!#REF!</f>
        <v>#REF!</v>
      </c>
      <c r="P489" s="409" t="e">
        <f t="shared" si="107"/>
        <v>#REF!</v>
      </c>
    </row>
    <row r="490" spans="1:16" ht="24.75" customHeight="1" hidden="1">
      <c r="A490" s="431" t="s">
        <v>147</v>
      </c>
      <c r="B490" s="432" t="s">
        <v>146</v>
      </c>
      <c r="C490" s="404">
        <f t="shared" si="110"/>
        <v>0</v>
      </c>
      <c r="D490" s="404">
        <f t="shared" si="111"/>
        <v>0</v>
      </c>
      <c r="E490" s="409"/>
      <c r="F490" s="409"/>
      <c r="G490" s="409"/>
      <c r="H490" s="409"/>
      <c r="I490" s="409"/>
      <c r="J490" s="409"/>
      <c r="K490" s="409"/>
      <c r="L490" s="409"/>
      <c r="M490" s="409" t="e">
        <f>'03'!#REF!+'04'!#REF!</f>
        <v>#REF!</v>
      </c>
      <c r="N490" s="409" t="e">
        <f t="shared" si="106"/>
        <v>#REF!</v>
      </c>
      <c r="O490" s="409" t="e">
        <f>'07'!#REF!</f>
        <v>#REF!</v>
      </c>
      <c r="P490" s="409" t="e">
        <f t="shared" si="107"/>
        <v>#REF!</v>
      </c>
    </row>
    <row r="491" spans="1:16" ht="24.75" customHeight="1" hidden="1">
      <c r="A491" s="431" t="s">
        <v>149</v>
      </c>
      <c r="B491" s="434" t="s">
        <v>148</v>
      </c>
      <c r="C491" s="404">
        <f t="shared" si="110"/>
        <v>0</v>
      </c>
      <c r="D491" s="404">
        <f t="shared" si="111"/>
        <v>0</v>
      </c>
      <c r="E491" s="409"/>
      <c r="F491" s="409"/>
      <c r="G491" s="409"/>
      <c r="H491" s="409"/>
      <c r="I491" s="409"/>
      <c r="J491" s="409"/>
      <c r="K491" s="409"/>
      <c r="L491" s="409"/>
      <c r="M491" s="409" t="e">
        <f>'03'!#REF!+'04'!#REF!</f>
        <v>#REF!</v>
      </c>
      <c r="N491" s="409" t="e">
        <f t="shared" si="106"/>
        <v>#REF!</v>
      </c>
      <c r="O491" s="409" t="e">
        <f>'07'!#REF!</f>
        <v>#REF!</v>
      </c>
      <c r="P491" s="409" t="e">
        <f t="shared" si="107"/>
        <v>#REF!</v>
      </c>
    </row>
    <row r="492" spans="1:16" ht="24.75" customHeight="1" hidden="1">
      <c r="A492" s="431" t="s">
        <v>186</v>
      </c>
      <c r="B492" s="432" t="s">
        <v>150</v>
      </c>
      <c r="C492" s="404">
        <f t="shared" si="110"/>
        <v>0</v>
      </c>
      <c r="D492" s="404">
        <f t="shared" si="111"/>
        <v>0</v>
      </c>
      <c r="E492" s="409"/>
      <c r="F492" s="409"/>
      <c r="G492" s="409"/>
      <c r="H492" s="409"/>
      <c r="I492" s="409"/>
      <c r="J492" s="409"/>
      <c r="K492" s="409"/>
      <c r="L492" s="409"/>
      <c r="M492" s="409" t="e">
        <f>'03'!#REF!+'04'!#REF!</f>
        <v>#REF!</v>
      </c>
      <c r="N492" s="409" t="e">
        <f t="shared" si="106"/>
        <v>#REF!</v>
      </c>
      <c r="O492" s="409" t="e">
        <f>'07'!#REF!</f>
        <v>#REF!</v>
      </c>
      <c r="P492" s="409" t="e">
        <f t="shared" si="107"/>
        <v>#REF!</v>
      </c>
    </row>
    <row r="493" spans="1:16" ht="24.75" customHeight="1" hidden="1">
      <c r="A493" s="394" t="s">
        <v>53</v>
      </c>
      <c r="B493" s="395" t="s">
        <v>151</v>
      </c>
      <c r="C493" s="404">
        <f t="shared" si="110"/>
        <v>122644</v>
      </c>
      <c r="D493" s="404">
        <f t="shared" si="111"/>
        <v>122644</v>
      </c>
      <c r="E493" s="409">
        <v>26194</v>
      </c>
      <c r="F493" s="409"/>
      <c r="G493" s="409">
        <v>33200</v>
      </c>
      <c r="H493" s="409"/>
      <c r="I493" s="409">
        <v>63250</v>
      </c>
      <c r="J493" s="409"/>
      <c r="K493" s="409"/>
      <c r="L493" s="409"/>
      <c r="M493" s="404" t="e">
        <f>'03'!#REF!+'04'!#REF!</f>
        <v>#REF!</v>
      </c>
      <c r="N493" s="404" t="e">
        <f t="shared" si="106"/>
        <v>#REF!</v>
      </c>
      <c r="O493" s="404" t="e">
        <f>'07'!#REF!</f>
        <v>#REF!</v>
      </c>
      <c r="P493" s="404" t="e">
        <f t="shared" si="107"/>
        <v>#REF!</v>
      </c>
    </row>
    <row r="494" spans="1:16" ht="24.75" customHeight="1" hidden="1">
      <c r="A494" s="463" t="s">
        <v>76</v>
      </c>
      <c r="B494" s="492" t="s">
        <v>215</v>
      </c>
      <c r="C494" s="476">
        <f>(C485+C486+C487)/C484</f>
        <v>0.12341491317773375</v>
      </c>
      <c r="D494" s="396">
        <f aca="true" t="shared" si="112" ref="D494:L494">(D485+D486+D487)/D484</f>
        <v>0.542008843967151</v>
      </c>
      <c r="E494" s="414">
        <f t="shared" si="112"/>
        <v>0.28212491026561376</v>
      </c>
      <c r="F494" s="414" t="e">
        <f t="shared" si="112"/>
        <v>#DIV/0!</v>
      </c>
      <c r="G494" s="414" t="e">
        <f t="shared" si="112"/>
        <v>#DIV/0!</v>
      </c>
      <c r="H494" s="414">
        <f t="shared" si="112"/>
        <v>1</v>
      </c>
      <c r="I494" s="414" t="e">
        <f t="shared" si="112"/>
        <v>#DIV/0!</v>
      </c>
      <c r="J494" s="414">
        <f t="shared" si="112"/>
        <v>1</v>
      </c>
      <c r="K494" s="414">
        <f t="shared" si="112"/>
        <v>1</v>
      </c>
      <c r="L494" s="414">
        <f t="shared" si="112"/>
        <v>0.05127110799577734</v>
      </c>
      <c r="M494" s="425"/>
      <c r="N494" s="493"/>
      <c r="O494" s="493"/>
      <c r="P494" s="493"/>
    </row>
    <row r="495" spans="1:16" ht="17.25" hidden="1">
      <c r="A495" s="1515" t="s">
        <v>500</v>
      </c>
      <c r="B495" s="1515"/>
      <c r="C495" s="409">
        <f>C478-C481-C482-C483</f>
        <v>0</v>
      </c>
      <c r="D495" s="409">
        <f aca="true" t="shared" si="113" ref="D495:L495">D478-D481-D482-D483</f>
        <v>0</v>
      </c>
      <c r="E495" s="409">
        <f t="shared" si="113"/>
        <v>0</v>
      </c>
      <c r="F495" s="409">
        <f t="shared" si="113"/>
        <v>0</v>
      </c>
      <c r="G495" s="409">
        <f t="shared" si="113"/>
        <v>0</v>
      </c>
      <c r="H495" s="409">
        <f t="shared" si="113"/>
        <v>0</v>
      </c>
      <c r="I495" s="409">
        <f t="shared" si="113"/>
        <v>0</v>
      </c>
      <c r="J495" s="409">
        <f t="shared" si="113"/>
        <v>0</v>
      </c>
      <c r="K495" s="409">
        <f t="shared" si="113"/>
        <v>0</v>
      </c>
      <c r="L495" s="409">
        <f t="shared" si="113"/>
        <v>0</v>
      </c>
      <c r="M495" s="425"/>
      <c r="N495" s="493"/>
      <c r="O495" s="493"/>
      <c r="P495" s="493"/>
    </row>
    <row r="496" spans="1:16" ht="17.25" hidden="1">
      <c r="A496" s="1516" t="s">
        <v>501</v>
      </c>
      <c r="B496" s="1516"/>
      <c r="C496" s="409">
        <f>C483-C484-C493</f>
        <v>0</v>
      </c>
      <c r="D496" s="409">
        <f aca="true" t="shared" si="114" ref="D496:L496">D483-D484-D493</f>
        <v>0</v>
      </c>
      <c r="E496" s="409">
        <f t="shared" si="114"/>
        <v>0</v>
      </c>
      <c r="F496" s="409">
        <f t="shared" si="114"/>
        <v>0</v>
      </c>
      <c r="G496" s="409">
        <f t="shared" si="114"/>
        <v>0</v>
      </c>
      <c r="H496" s="409">
        <f t="shared" si="114"/>
        <v>0</v>
      </c>
      <c r="I496" s="409">
        <f t="shared" si="114"/>
        <v>0</v>
      </c>
      <c r="J496" s="409">
        <f t="shared" si="114"/>
        <v>0</v>
      </c>
      <c r="K496" s="409">
        <f t="shared" si="114"/>
        <v>0</v>
      </c>
      <c r="L496" s="409">
        <f t="shared" si="114"/>
        <v>0</v>
      </c>
      <c r="M496" s="425"/>
      <c r="N496" s="493"/>
      <c r="O496" s="493"/>
      <c r="P496" s="493"/>
    </row>
    <row r="497" spans="1:16" ht="18.75" hidden="1">
      <c r="A497" s="478"/>
      <c r="B497" s="494" t="s">
        <v>520</v>
      </c>
      <c r="C497" s="494"/>
      <c r="D497" s="466"/>
      <c r="E497" s="466"/>
      <c r="F497" s="466"/>
      <c r="G497" s="1518" t="s">
        <v>520</v>
      </c>
      <c r="H497" s="1518"/>
      <c r="I497" s="1518"/>
      <c r="J497" s="1518"/>
      <c r="K497" s="1518"/>
      <c r="L497" s="1518"/>
      <c r="M497" s="481"/>
      <c r="N497" s="481"/>
      <c r="O497" s="481"/>
      <c r="P497" s="481"/>
    </row>
    <row r="498" spans="1:16" ht="18.75" hidden="1">
      <c r="A498" s="1551" t="s">
        <v>4</v>
      </c>
      <c r="B498" s="1551"/>
      <c r="C498" s="1551"/>
      <c r="D498" s="1551"/>
      <c r="E498" s="466"/>
      <c r="F498" s="466"/>
      <c r="G498" s="495"/>
      <c r="H498" s="1552" t="s">
        <v>521</v>
      </c>
      <c r="I498" s="1552"/>
      <c r="J498" s="1552"/>
      <c r="K498" s="1552"/>
      <c r="L498" s="1552"/>
      <c r="M498" s="481"/>
      <c r="N498" s="481"/>
      <c r="O498" s="481"/>
      <c r="P498" s="481"/>
    </row>
    <row r="499" ht="15" hidden="1"/>
    <row r="500" ht="15" hidden="1"/>
    <row r="501" ht="15" hidden="1"/>
    <row r="502" ht="15" hidden="1"/>
    <row r="503" ht="15" hidden="1"/>
    <row r="504" ht="15" hidden="1"/>
    <row r="505" ht="15" hidden="1"/>
    <row r="506" ht="15" hidden="1"/>
    <row r="507" ht="15" hidden="1"/>
    <row r="508" ht="15" hidden="1"/>
    <row r="509" ht="15" hidden="1"/>
    <row r="510" ht="15" hidden="1"/>
    <row r="511" spans="1:13" ht="16.5" hidden="1">
      <c r="A511" s="1540" t="s">
        <v>33</v>
      </c>
      <c r="B511" s="1541"/>
      <c r="C511" s="477"/>
      <c r="D511" s="1532" t="s">
        <v>79</v>
      </c>
      <c r="E511" s="1532"/>
      <c r="F511" s="1532"/>
      <c r="G511" s="1532"/>
      <c r="H511" s="1532"/>
      <c r="I511" s="1532"/>
      <c r="J511" s="1532"/>
      <c r="K511" s="1542"/>
      <c r="L511" s="1542"/>
      <c r="M511" s="481"/>
    </row>
    <row r="512" spans="1:13" ht="16.5" hidden="1">
      <c r="A512" s="1495" t="s">
        <v>344</v>
      </c>
      <c r="B512" s="1495"/>
      <c r="C512" s="1495"/>
      <c r="D512" s="1532" t="s">
        <v>216</v>
      </c>
      <c r="E512" s="1532"/>
      <c r="F512" s="1532"/>
      <c r="G512" s="1532"/>
      <c r="H512" s="1532"/>
      <c r="I512" s="1532"/>
      <c r="J512" s="1532"/>
      <c r="K512" s="1539" t="s">
        <v>518</v>
      </c>
      <c r="L512" s="1539"/>
      <c r="M512" s="478"/>
    </row>
    <row r="513" spans="1:13" ht="16.5" hidden="1">
      <c r="A513" s="1495" t="s">
        <v>345</v>
      </c>
      <c r="B513" s="1495"/>
      <c r="C513" s="415"/>
      <c r="D513" s="1543" t="s">
        <v>554</v>
      </c>
      <c r="E513" s="1543"/>
      <c r="F513" s="1543"/>
      <c r="G513" s="1543"/>
      <c r="H513" s="1543"/>
      <c r="I513" s="1543"/>
      <c r="J513" s="1543"/>
      <c r="K513" s="1542"/>
      <c r="L513" s="1542"/>
      <c r="M513" s="481"/>
    </row>
    <row r="514" spans="1:13" ht="15.75" hidden="1">
      <c r="A514" s="436" t="s">
        <v>119</v>
      </c>
      <c r="B514" s="436"/>
      <c r="C514" s="421"/>
      <c r="D514" s="482"/>
      <c r="E514" s="482"/>
      <c r="F514" s="483"/>
      <c r="G514" s="483"/>
      <c r="H514" s="483"/>
      <c r="I514" s="483"/>
      <c r="J514" s="483"/>
      <c r="K514" s="1544"/>
      <c r="L514" s="1544"/>
      <c r="M514" s="478"/>
    </row>
    <row r="515" spans="1:13" ht="15.75" hidden="1">
      <c r="A515" s="482"/>
      <c r="B515" s="482" t="s">
        <v>94</v>
      </c>
      <c r="C515" s="482"/>
      <c r="D515" s="482"/>
      <c r="E515" s="482"/>
      <c r="F515" s="482"/>
      <c r="G515" s="482"/>
      <c r="H515" s="482"/>
      <c r="I515" s="482"/>
      <c r="J515" s="482"/>
      <c r="K515" s="1534"/>
      <c r="L515" s="1534"/>
      <c r="M515" s="478"/>
    </row>
    <row r="516" spans="1:13" ht="15.75" hidden="1">
      <c r="A516" s="1143" t="s">
        <v>71</v>
      </c>
      <c r="B516" s="1144"/>
      <c r="C516" s="1509" t="s">
        <v>38</v>
      </c>
      <c r="D516" s="1519" t="s">
        <v>339</v>
      </c>
      <c r="E516" s="1519"/>
      <c r="F516" s="1519"/>
      <c r="G516" s="1519"/>
      <c r="H516" s="1519"/>
      <c r="I516" s="1519"/>
      <c r="J516" s="1519"/>
      <c r="K516" s="1519"/>
      <c r="L516" s="1519"/>
      <c r="M516" s="481"/>
    </row>
    <row r="517" spans="1:13" ht="15.75" hidden="1">
      <c r="A517" s="1145"/>
      <c r="B517" s="1146"/>
      <c r="C517" s="1509"/>
      <c r="D517" s="1545" t="s">
        <v>207</v>
      </c>
      <c r="E517" s="1546"/>
      <c r="F517" s="1546"/>
      <c r="G517" s="1546"/>
      <c r="H517" s="1546"/>
      <c r="I517" s="1546"/>
      <c r="J517" s="1547"/>
      <c r="K517" s="1548" t="s">
        <v>208</v>
      </c>
      <c r="L517" s="1548" t="s">
        <v>209</v>
      </c>
      <c r="M517" s="478"/>
    </row>
    <row r="518" spans="1:13" ht="15.75" hidden="1">
      <c r="A518" s="1145"/>
      <c r="B518" s="1146"/>
      <c r="C518" s="1509"/>
      <c r="D518" s="1555" t="s">
        <v>37</v>
      </c>
      <c r="E518" s="1556" t="s">
        <v>7</v>
      </c>
      <c r="F518" s="1557"/>
      <c r="G518" s="1557"/>
      <c r="H518" s="1557"/>
      <c r="I518" s="1557"/>
      <c r="J518" s="1558"/>
      <c r="K518" s="1549"/>
      <c r="L518" s="1553"/>
      <c r="M518" s="478"/>
    </row>
    <row r="519" spans="1:16" ht="15.75" hidden="1">
      <c r="A519" s="1513"/>
      <c r="B519" s="1514"/>
      <c r="C519" s="1509"/>
      <c r="D519" s="1555"/>
      <c r="E519" s="484" t="s">
        <v>210</v>
      </c>
      <c r="F519" s="484" t="s">
        <v>211</v>
      </c>
      <c r="G519" s="484" t="s">
        <v>212</v>
      </c>
      <c r="H519" s="484" t="s">
        <v>213</v>
      </c>
      <c r="I519" s="484" t="s">
        <v>346</v>
      </c>
      <c r="J519" s="484" t="s">
        <v>214</v>
      </c>
      <c r="K519" s="1550"/>
      <c r="L519" s="1554"/>
      <c r="M519" s="1507" t="s">
        <v>502</v>
      </c>
      <c r="N519" s="1507"/>
      <c r="O519" s="1507"/>
      <c r="P519" s="1507"/>
    </row>
    <row r="520" spans="1:16" ht="15" hidden="1">
      <c r="A520" s="1511" t="s">
        <v>6</v>
      </c>
      <c r="B520" s="1512"/>
      <c r="C520" s="485">
        <v>1</v>
      </c>
      <c r="D520" s="486">
        <v>2</v>
      </c>
      <c r="E520" s="485">
        <v>3</v>
      </c>
      <c r="F520" s="486">
        <v>4</v>
      </c>
      <c r="G520" s="485">
        <v>5</v>
      </c>
      <c r="H520" s="486">
        <v>6</v>
      </c>
      <c r="I520" s="485">
        <v>7</v>
      </c>
      <c r="J520" s="486">
        <v>8</v>
      </c>
      <c r="K520" s="485">
        <v>9</v>
      </c>
      <c r="L520" s="486">
        <v>10</v>
      </c>
      <c r="M520" s="487" t="s">
        <v>503</v>
      </c>
      <c r="N520" s="488" t="s">
        <v>506</v>
      </c>
      <c r="O520" s="488" t="s">
        <v>504</v>
      </c>
      <c r="P520" s="488" t="s">
        <v>505</v>
      </c>
    </row>
    <row r="521" spans="1:16" ht="24.75" customHeight="1" hidden="1">
      <c r="A521" s="428" t="s">
        <v>0</v>
      </c>
      <c r="B521" s="429" t="s">
        <v>131</v>
      </c>
      <c r="C521" s="404">
        <f>C522+C523</f>
        <v>1489506</v>
      </c>
      <c r="D521" s="404">
        <f aca="true" t="shared" si="115" ref="D521:L521">D522+D523</f>
        <v>1316506</v>
      </c>
      <c r="E521" s="404">
        <f t="shared" si="115"/>
        <v>194963</v>
      </c>
      <c r="F521" s="404">
        <f t="shared" si="115"/>
        <v>0</v>
      </c>
      <c r="G521" s="404">
        <f t="shared" si="115"/>
        <v>98361</v>
      </c>
      <c r="H521" s="404">
        <f t="shared" si="115"/>
        <v>1018454</v>
      </c>
      <c r="I521" s="404">
        <f t="shared" si="115"/>
        <v>0</v>
      </c>
      <c r="J521" s="404">
        <f t="shared" si="115"/>
        <v>4728</v>
      </c>
      <c r="K521" s="404">
        <f t="shared" si="115"/>
        <v>0</v>
      </c>
      <c r="L521" s="404">
        <f t="shared" si="115"/>
        <v>173000</v>
      </c>
      <c r="M521" s="404" t="e">
        <f>'03'!#REF!+'04'!#REF!</f>
        <v>#REF!</v>
      </c>
      <c r="N521" s="404" t="e">
        <f>C521-M521</f>
        <v>#REF!</v>
      </c>
      <c r="O521" s="404" t="e">
        <f>'07'!#REF!</f>
        <v>#REF!</v>
      </c>
      <c r="P521" s="404" t="e">
        <f>C521-O521</f>
        <v>#REF!</v>
      </c>
    </row>
    <row r="522" spans="1:16" ht="24.75" customHeight="1" hidden="1">
      <c r="A522" s="431">
        <v>1</v>
      </c>
      <c r="B522" s="432" t="s">
        <v>132</v>
      </c>
      <c r="C522" s="404">
        <f>D522+K522+L522</f>
        <v>1046387</v>
      </c>
      <c r="D522" s="404">
        <f>E522+F522+G522+H522+I522+J522</f>
        <v>1046387</v>
      </c>
      <c r="E522" s="409">
        <v>35026</v>
      </c>
      <c r="F522" s="409"/>
      <c r="G522" s="409">
        <v>37361</v>
      </c>
      <c r="H522" s="409">
        <v>974000</v>
      </c>
      <c r="I522" s="409"/>
      <c r="J522" s="409"/>
      <c r="K522" s="409"/>
      <c r="L522" s="409"/>
      <c r="M522" s="409" t="e">
        <f>'03'!#REF!+'04'!#REF!</f>
        <v>#REF!</v>
      </c>
      <c r="N522" s="409" t="e">
        <f aca="true" t="shared" si="116" ref="N522:N536">C522-M522</f>
        <v>#REF!</v>
      </c>
      <c r="O522" s="409" t="e">
        <f>'07'!#REF!</f>
        <v>#REF!</v>
      </c>
      <c r="P522" s="409" t="e">
        <f aca="true" t="shared" si="117" ref="P522:P536">C522-O522</f>
        <v>#REF!</v>
      </c>
    </row>
    <row r="523" spans="1:16" ht="24.75" customHeight="1" hidden="1">
      <c r="A523" s="431">
        <v>2</v>
      </c>
      <c r="B523" s="432" t="s">
        <v>133</v>
      </c>
      <c r="C523" s="404">
        <f>D523+K523+L523</f>
        <v>443119</v>
      </c>
      <c r="D523" s="404">
        <f>E523+F523+G523+H523+I523+J523</f>
        <v>270119</v>
      </c>
      <c r="E523" s="409">
        <v>159937</v>
      </c>
      <c r="F523" s="409">
        <v>0</v>
      </c>
      <c r="G523" s="409">
        <v>61000</v>
      </c>
      <c r="H523" s="409">
        <v>44454</v>
      </c>
      <c r="I523" s="409">
        <v>0</v>
      </c>
      <c r="J523" s="409">
        <v>4728</v>
      </c>
      <c r="K523" s="409">
        <v>0</v>
      </c>
      <c r="L523" s="409">
        <v>173000</v>
      </c>
      <c r="M523" s="409" t="e">
        <f>'03'!#REF!+'04'!#REF!</f>
        <v>#REF!</v>
      </c>
      <c r="N523" s="409" t="e">
        <f t="shared" si="116"/>
        <v>#REF!</v>
      </c>
      <c r="O523" s="409" t="e">
        <f>'07'!#REF!</f>
        <v>#REF!</v>
      </c>
      <c r="P523" s="409" t="e">
        <f t="shared" si="117"/>
        <v>#REF!</v>
      </c>
    </row>
    <row r="524" spans="1:16" ht="24.75" customHeight="1" hidden="1">
      <c r="A524" s="394" t="s">
        <v>1</v>
      </c>
      <c r="B524" s="395" t="s">
        <v>134</v>
      </c>
      <c r="C524" s="404">
        <f>D524+K524+L524</f>
        <v>21400</v>
      </c>
      <c r="D524" s="404">
        <f>E524+F524+G524+H524+I524+J524</f>
        <v>21400</v>
      </c>
      <c r="E524" s="409">
        <v>1400</v>
      </c>
      <c r="F524" s="409">
        <v>0</v>
      </c>
      <c r="G524" s="409">
        <v>20000</v>
      </c>
      <c r="H524" s="409">
        <v>0</v>
      </c>
      <c r="I524" s="409">
        <v>0</v>
      </c>
      <c r="J524" s="409">
        <v>0</v>
      </c>
      <c r="K524" s="409">
        <v>0</v>
      </c>
      <c r="L524" s="409">
        <v>0</v>
      </c>
      <c r="M524" s="409" t="e">
        <f>'03'!#REF!+'04'!#REF!</f>
        <v>#REF!</v>
      </c>
      <c r="N524" s="409" t="e">
        <f t="shared" si="116"/>
        <v>#REF!</v>
      </c>
      <c r="O524" s="409" t="e">
        <f>'07'!#REF!</f>
        <v>#REF!</v>
      </c>
      <c r="P524" s="409" t="e">
        <f t="shared" si="117"/>
        <v>#REF!</v>
      </c>
    </row>
    <row r="525" spans="1:16" ht="24.75" customHeight="1" hidden="1">
      <c r="A525" s="394" t="s">
        <v>9</v>
      </c>
      <c r="B525" s="395" t="s">
        <v>135</v>
      </c>
      <c r="C525" s="404">
        <f>D525+K525+L525</f>
        <v>0</v>
      </c>
      <c r="D525" s="404">
        <f>E525+F525+G525+H525+I525+J525</f>
        <v>0</v>
      </c>
      <c r="E525" s="409">
        <v>0</v>
      </c>
      <c r="F525" s="409">
        <v>0</v>
      </c>
      <c r="G525" s="409">
        <v>0</v>
      </c>
      <c r="H525" s="409">
        <v>0</v>
      </c>
      <c r="I525" s="409">
        <v>0</v>
      </c>
      <c r="J525" s="409">
        <v>0</v>
      </c>
      <c r="K525" s="409">
        <v>0</v>
      </c>
      <c r="L525" s="409">
        <v>0</v>
      </c>
      <c r="M525" s="409" t="e">
        <f>'03'!#REF!+'04'!#REF!</f>
        <v>#REF!</v>
      </c>
      <c r="N525" s="409" t="e">
        <f t="shared" si="116"/>
        <v>#REF!</v>
      </c>
      <c r="O525" s="409" t="e">
        <f>'07'!#REF!</f>
        <v>#REF!</v>
      </c>
      <c r="P525" s="409" t="e">
        <f t="shared" si="117"/>
        <v>#REF!</v>
      </c>
    </row>
    <row r="526" spans="1:16" ht="24.75" customHeight="1" hidden="1">
      <c r="A526" s="394" t="s">
        <v>136</v>
      </c>
      <c r="B526" s="395" t="s">
        <v>137</v>
      </c>
      <c r="C526" s="404">
        <f>C527+C536</f>
        <v>1468106</v>
      </c>
      <c r="D526" s="404">
        <f aca="true" t="shared" si="118" ref="D526:L526">D527+D536</f>
        <v>1295106</v>
      </c>
      <c r="E526" s="404">
        <f t="shared" si="118"/>
        <v>193563</v>
      </c>
      <c r="F526" s="404">
        <f t="shared" si="118"/>
        <v>0</v>
      </c>
      <c r="G526" s="404">
        <f t="shared" si="118"/>
        <v>78361</v>
      </c>
      <c r="H526" s="404">
        <f t="shared" si="118"/>
        <v>1018454</v>
      </c>
      <c r="I526" s="404">
        <f t="shared" si="118"/>
        <v>0</v>
      </c>
      <c r="J526" s="404">
        <f t="shared" si="118"/>
        <v>4728</v>
      </c>
      <c r="K526" s="404">
        <f t="shared" si="118"/>
        <v>0</v>
      </c>
      <c r="L526" s="404">
        <f t="shared" si="118"/>
        <v>173000</v>
      </c>
      <c r="M526" s="404" t="e">
        <f>'03'!#REF!+'04'!#REF!</f>
        <v>#REF!</v>
      </c>
      <c r="N526" s="404" t="e">
        <f t="shared" si="116"/>
        <v>#REF!</v>
      </c>
      <c r="O526" s="404" t="e">
        <f>'07'!#REF!</f>
        <v>#REF!</v>
      </c>
      <c r="P526" s="404" t="e">
        <f t="shared" si="117"/>
        <v>#REF!</v>
      </c>
    </row>
    <row r="527" spans="1:16" ht="24.75" customHeight="1" hidden="1">
      <c r="A527" s="394" t="s">
        <v>52</v>
      </c>
      <c r="B527" s="433" t="s">
        <v>138</v>
      </c>
      <c r="C527" s="404">
        <f>SUM(C528:C535)</f>
        <v>421719</v>
      </c>
      <c r="D527" s="404">
        <f aca="true" t="shared" si="119" ref="D527:L527">SUM(D528:D535)</f>
        <v>248719</v>
      </c>
      <c r="E527" s="404">
        <f t="shared" si="119"/>
        <v>158537</v>
      </c>
      <c r="F527" s="404">
        <f t="shared" si="119"/>
        <v>0</v>
      </c>
      <c r="G527" s="404">
        <f t="shared" si="119"/>
        <v>41000</v>
      </c>
      <c r="H527" s="404">
        <f t="shared" si="119"/>
        <v>44454</v>
      </c>
      <c r="I527" s="404">
        <f t="shared" si="119"/>
        <v>0</v>
      </c>
      <c r="J527" s="404">
        <f t="shared" si="119"/>
        <v>4728</v>
      </c>
      <c r="K527" s="404">
        <f t="shared" si="119"/>
        <v>0</v>
      </c>
      <c r="L527" s="404">
        <f t="shared" si="119"/>
        <v>173000</v>
      </c>
      <c r="M527" s="404" t="e">
        <f>'03'!#REF!+'04'!#REF!</f>
        <v>#REF!</v>
      </c>
      <c r="N527" s="404" t="e">
        <f t="shared" si="116"/>
        <v>#REF!</v>
      </c>
      <c r="O527" s="404" t="e">
        <f>'07'!#REF!</f>
        <v>#REF!</v>
      </c>
      <c r="P527" s="404" t="e">
        <f t="shared" si="117"/>
        <v>#REF!</v>
      </c>
    </row>
    <row r="528" spans="1:16" ht="24.75" customHeight="1" hidden="1">
      <c r="A528" s="431" t="s">
        <v>54</v>
      </c>
      <c r="B528" s="432" t="s">
        <v>139</v>
      </c>
      <c r="C528" s="404">
        <f aca="true" t="shared" si="120" ref="C528:C536">D528+K528+L528</f>
        <v>57757</v>
      </c>
      <c r="D528" s="404">
        <f aca="true" t="shared" si="121" ref="D528:D536">E528+F528+G528+H528+I528+J528</f>
        <v>57757</v>
      </c>
      <c r="E528" s="409">
        <v>4875</v>
      </c>
      <c r="F528" s="409">
        <v>0</v>
      </c>
      <c r="G528" s="409">
        <v>6700</v>
      </c>
      <c r="H528" s="409">
        <v>41454</v>
      </c>
      <c r="I528" s="409">
        <v>0</v>
      </c>
      <c r="J528" s="409">
        <v>4728</v>
      </c>
      <c r="K528" s="409">
        <v>0</v>
      </c>
      <c r="L528" s="409">
        <v>0</v>
      </c>
      <c r="M528" s="409" t="e">
        <f>'03'!#REF!+'04'!#REF!</f>
        <v>#REF!</v>
      </c>
      <c r="N528" s="409" t="e">
        <f t="shared" si="116"/>
        <v>#REF!</v>
      </c>
      <c r="O528" s="409" t="e">
        <f>'07'!#REF!</f>
        <v>#REF!</v>
      </c>
      <c r="P528" s="409" t="e">
        <f t="shared" si="117"/>
        <v>#REF!</v>
      </c>
    </row>
    <row r="529" spans="1:16" ht="24.75" customHeight="1" hidden="1">
      <c r="A529" s="431" t="s">
        <v>55</v>
      </c>
      <c r="B529" s="432" t="s">
        <v>140</v>
      </c>
      <c r="C529" s="404">
        <f t="shared" si="120"/>
        <v>0</v>
      </c>
      <c r="D529" s="404">
        <f t="shared" si="121"/>
        <v>0</v>
      </c>
      <c r="E529" s="409">
        <v>0</v>
      </c>
      <c r="F529" s="409">
        <v>0</v>
      </c>
      <c r="G529" s="409">
        <v>0</v>
      </c>
      <c r="H529" s="409">
        <v>0</v>
      </c>
      <c r="I529" s="409">
        <v>0</v>
      </c>
      <c r="J529" s="409">
        <v>0</v>
      </c>
      <c r="K529" s="409">
        <v>0</v>
      </c>
      <c r="L529" s="409">
        <v>0</v>
      </c>
      <c r="M529" s="409" t="e">
        <f>'03'!#REF!+'04'!#REF!</f>
        <v>#REF!</v>
      </c>
      <c r="N529" s="409" t="e">
        <f t="shared" si="116"/>
        <v>#REF!</v>
      </c>
      <c r="O529" s="409" t="e">
        <f>'07'!#REF!</f>
        <v>#REF!</v>
      </c>
      <c r="P529" s="409" t="e">
        <f t="shared" si="117"/>
        <v>#REF!</v>
      </c>
    </row>
    <row r="530" spans="1:16" ht="24.75" customHeight="1" hidden="1">
      <c r="A530" s="431" t="s">
        <v>141</v>
      </c>
      <c r="B530" s="432" t="s">
        <v>202</v>
      </c>
      <c r="C530" s="404">
        <f t="shared" si="120"/>
        <v>0</v>
      </c>
      <c r="D530" s="404">
        <f t="shared" si="121"/>
        <v>0</v>
      </c>
      <c r="E530" s="409">
        <v>0</v>
      </c>
      <c r="F530" s="409">
        <v>0</v>
      </c>
      <c r="G530" s="409">
        <v>0</v>
      </c>
      <c r="H530" s="409">
        <v>0</v>
      </c>
      <c r="I530" s="409">
        <v>0</v>
      </c>
      <c r="J530" s="409">
        <v>0</v>
      </c>
      <c r="K530" s="409">
        <v>0</v>
      </c>
      <c r="L530" s="409">
        <v>0</v>
      </c>
      <c r="M530" s="409" t="e">
        <f>'03'!#REF!</f>
        <v>#REF!</v>
      </c>
      <c r="N530" s="409" t="e">
        <f t="shared" si="116"/>
        <v>#REF!</v>
      </c>
      <c r="O530" s="409" t="e">
        <f>'07'!#REF!</f>
        <v>#REF!</v>
      </c>
      <c r="P530" s="409" t="e">
        <f t="shared" si="117"/>
        <v>#REF!</v>
      </c>
    </row>
    <row r="531" spans="1:16" ht="24.75" customHeight="1" hidden="1">
      <c r="A531" s="431" t="s">
        <v>143</v>
      </c>
      <c r="B531" s="432" t="s">
        <v>142</v>
      </c>
      <c r="C531" s="404">
        <f t="shared" si="120"/>
        <v>213822</v>
      </c>
      <c r="D531" s="404">
        <f t="shared" si="121"/>
        <v>40822</v>
      </c>
      <c r="E531" s="409">
        <v>3522</v>
      </c>
      <c r="F531" s="409">
        <v>0</v>
      </c>
      <c r="G531" s="409">
        <v>34300</v>
      </c>
      <c r="H531" s="409">
        <v>3000</v>
      </c>
      <c r="I531" s="409">
        <v>0</v>
      </c>
      <c r="J531" s="409">
        <v>0</v>
      </c>
      <c r="K531" s="409">
        <v>0</v>
      </c>
      <c r="L531" s="409">
        <v>173000</v>
      </c>
      <c r="M531" s="409" t="e">
        <f>'03'!#REF!+'04'!#REF!</f>
        <v>#REF!</v>
      </c>
      <c r="N531" s="409" t="e">
        <f t="shared" si="116"/>
        <v>#REF!</v>
      </c>
      <c r="O531" s="409" t="e">
        <f>'07'!#REF!</f>
        <v>#REF!</v>
      </c>
      <c r="P531" s="409" t="e">
        <f t="shared" si="117"/>
        <v>#REF!</v>
      </c>
    </row>
    <row r="532" spans="1:16" ht="24.75" customHeight="1" hidden="1">
      <c r="A532" s="431" t="s">
        <v>145</v>
      </c>
      <c r="B532" s="432" t="s">
        <v>144</v>
      </c>
      <c r="C532" s="404">
        <f t="shared" si="120"/>
        <v>0</v>
      </c>
      <c r="D532" s="404">
        <f t="shared" si="121"/>
        <v>0</v>
      </c>
      <c r="E532" s="409">
        <v>0</v>
      </c>
      <c r="F532" s="409">
        <v>0</v>
      </c>
      <c r="G532" s="409">
        <v>0</v>
      </c>
      <c r="H532" s="409">
        <v>0</v>
      </c>
      <c r="I532" s="409">
        <v>0</v>
      </c>
      <c r="J532" s="409">
        <v>0</v>
      </c>
      <c r="K532" s="409">
        <v>0</v>
      </c>
      <c r="L532" s="409">
        <v>0</v>
      </c>
      <c r="M532" s="409" t="e">
        <f>'03'!#REF!+'04'!#REF!</f>
        <v>#REF!</v>
      </c>
      <c r="N532" s="409" t="e">
        <f t="shared" si="116"/>
        <v>#REF!</v>
      </c>
      <c r="O532" s="409" t="e">
        <f>'07'!#REF!</f>
        <v>#REF!</v>
      </c>
      <c r="P532" s="409" t="e">
        <f t="shared" si="117"/>
        <v>#REF!</v>
      </c>
    </row>
    <row r="533" spans="1:16" ht="24.75" customHeight="1" hidden="1">
      <c r="A533" s="431" t="s">
        <v>147</v>
      </c>
      <c r="B533" s="432" t="s">
        <v>146</v>
      </c>
      <c r="C533" s="404">
        <f t="shared" si="120"/>
        <v>150140</v>
      </c>
      <c r="D533" s="404">
        <f t="shared" si="121"/>
        <v>150140</v>
      </c>
      <c r="E533" s="409">
        <v>150140</v>
      </c>
      <c r="F533" s="409">
        <v>0</v>
      </c>
      <c r="G533" s="409">
        <v>0</v>
      </c>
      <c r="H533" s="409">
        <v>0</v>
      </c>
      <c r="I533" s="409">
        <v>0</v>
      </c>
      <c r="J533" s="409">
        <v>0</v>
      </c>
      <c r="K533" s="409">
        <v>0</v>
      </c>
      <c r="L533" s="409">
        <v>0</v>
      </c>
      <c r="M533" s="409" t="e">
        <f>'03'!#REF!+'04'!#REF!</f>
        <v>#REF!</v>
      </c>
      <c r="N533" s="409" t="e">
        <f t="shared" si="116"/>
        <v>#REF!</v>
      </c>
      <c r="O533" s="409" t="e">
        <f>'07'!#REF!</f>
        <v>#REF!</v>
      </c>
      <c r="P533" s="409" t="e">
        <f t="shared" si="117"/>
        <v>#REF!</v>
      </c>
    </row>
    <row r="534" spans="1:16" ht="24.75" customHeight="1" hidden="1">
      <c r="A534" s="431" t="s">
        <v>149</v>
      </c>
      <c r="B534" s="434" t="s">
        <v>148</v>
      </c>
      <c r="C534" s="404">
        <f t="shared" si="120"/>
        <v>0</v>
      </c>
      <c r="D534" s="404">
        <f t="shared" si="121"/>
        <v>0</v>
      </c>
      <c r="E534" s="409">
        <v>0</v>
      </c>
      <c r="F534" s="409">
        <v>0</v>
      </c>
      <c r="G534" s="409">
        <v>0</v>
      </c>
      <c r="H534" s="409">
        <v>0</v>
      </c>
      <c r="I534" s="409">
        <v>0</v>
      </c>
      <c r="J534" s="409">
        <v>0</v>
      </c>
      <c r="K534" s="409">
        <v>0</v>
      </c>
      <c r="L534" s="409">
        <v>0</v>
      </c>
      <c r="M534" s="409" t="e">
        <f>'03'!#REF!+'04'!#REF!</f>
        <v>#REF!</v>
      </c>
      <c r="N534" s="409" t="e">
        <f t="shared" si="116"/>
        <v>#REF!</v>
      </c>
      <c r="O534" s="409" t="e">
        <f>'07'!#REF!</f>
        <v>#REF!</v>
      </c>
      <c r="P534" s="409" t="e">
        <f t="shared" si="117"/>
        <v>#REF!</v>
      </c>
    </row>
    <row r="535" spans="1:16" ht="24.75" customHeight="1" hidden="1">
      <c r="A535" s="431" t="s">
        <v>186</v>
      </c>
      <c r="B535" s="432" t="s">
        <v>150</v>
      </c>
      <c r="C535" s="404">
        <f t="shared" si="120"/>
        <v>0</v>
      </c>
      <c r="D535" s="404">
        <f t="shared" si="121"/>
        <v>0</v>
      </c>
      <c r="E535" s="409">
        <v>0</v>
      </c>
      <c r="F535" s="409">
        <v>0</v>
      </c>
      <c r="G535" s="409">
        <v>0</v>
      </c>
      <c r="H535" s="409">
        <v>0</v>
      </c>
      <c r="I535" s="409">
        <v>0</v>
      </c>
      <c r="J535" s="409">
        <v>0</v>
      </c>
      <c r="K535" s="409">
        <v>0</v>
      </c>
      <c r="L535" s="409">
        <v>0</v>
      </c>
      <c r="M535" s="409" t="e">
        <f>'03'!#REF!+'04'!#REF!</f>
        <v>#REF!</v>
      </c>
      <c r="N535" s="409" t="e">
        <f t="shared" si="116"/>
        <v>#REF!</v>
      </c>
      <c r="O535" s="409" t="e">
        <f>'07'!#REF!</f>
        <v>#REF!</v>
      </c>
      <c r="P535" s="409" t="e">
        <f t="shared" si="117"/>
        <v>#REF!</v>
      </c>
    </row>
    <row r="536" spans="1:16" ht="24.75" customHeight="1" hidden="1">
      <c r="A536" s="394" t="s">
        <v>53</v>
      </c>
      <c r="B536" s="395" t="s">
        <v>151</v>
      </c>
      <c r="C536" s="404">
        <f t="shared" si="120"/>
        <v>1046387</v>
      </c>
      <c r="D536" s="404">
        <f t="shared" si="121"/>
        <v>1046387</v>
      </c>
      <c r="E536" s="409">
        <v>35026</v>
      </c>
      <c r="F536" s="409">
        <v>0</v>
      </c>
      <c r="G536" s="409">
        <v>37361</v>
      </c>
      <c r="H536" s="409">
        <v>974000</v>
      </c>
      <c r="I536" s="409">
        <v>0</v>
      </c>
      <c r="J536" s="409">
        <v>0</v>
      </c>
      <c r="K536" s="409">
        <v>0</v>
      </c>
      <c r="L536" s="409">
        <v>0</v>
      </c>
      <c r="M536" s="404" t="e">
        <f>'03'!#REF!+'04'!#REF!</f>
        <v>#REF!</v>
      </c>
      <c r="N536" s="404" t="e">
        <f t="shared" si="116"/>
        <v>#REF!</v>
      </c>
      <c r="O536" s="404" t="e">
        <f>'07'!#REF!</f>
        <v>#REF!</v>
      </c>
      <c r="P536" s="404" t="e">
        <f t="shared" si="117"/>
        <v>#REF!</v>
      </c>
    </row>
    <row r="537" spans="1:16" ht="24.75" customHeight="1" hidden="1">
      <c r="A537" s="463" t="s">
        <v>76</v>
      </c>
      <c r="B537" s="492" t="s">
        <v>215</v>
      </c>
      <c r="C537" s="476">
        <f>(C528+C529+C530)/C527</f>
        <v>0.13695612481296787</v>
      </c>
      <c r="D537" s="396">
        <f aca="true" t="shared" si="122" ref="D537:L537">(D528+D529+D530)/D527</f>
        <v>0.2322178844398699</v>
      </c>
      <c r="E537" s="414">
        <f t="shared" si="122"/>
        <v>0.030749919577133415</v>
      </c>
      <c r="F537" s="414" t="e">
        <f t="shared" si="122"/>
        <v>#DIV/0!</v>
      </c>
      <c r="G537" s="414">
        <f t="shared" si="122"/>
        <v>0.16341463414634147</v>
      </c>
      <c r="H537" s="414">
        <f t="shared" si="122"/>
        <v>0.9325145093804832</v>
      </c>
      <c r="I537" s="414" t="e">
        <f t="shared" si="122"/>
        <v>#DIV/0!</v>
      </c>
      <c r="J537" s="414">
        <f t="shared" si="122"/>
        <v>1</v>
      </c>
      <c r="K537" s="414" t="e">
        <f t="shared" si="122"/>
        <v>#DIV/0!</v>
      </c>
      <c r="L537" s="414">
        <f t="shared" si="122"/>
        <v>0</v>
      </c>
      <c r="M537" s="425"/>
      <c r="N537" s="493"/>
      <c r="O537" s="493"/>
      <c r="P537" s="493"/>
    </row>
    <row r="538" spans="1:16" ht="17.25" hidden="1">
      <c r="A538" s="1515" t="s">
        <v>500</v>
      </c>
      <c r="B538" s="1515"/>
      <c r="C538" s="409">
        <f>C521-C524-C525-C526</f>
        <v>0</v>
      </c>
      <c r="D538" s="409">
        <f aca="true" t="shared" si="123" ref="D538:L538">D521-D524-D525-D526</f>
        <v>0</v>
      </c>
      <c r="E538" s="409">
        <f t="shared" si="123"/>
        <v>0</v>
      </c>
      <c r="F538" s="409">
        <f t="shared" si="123"/>
        <v>0</v>
      </c>
      <c r="G538" s="409">
        <f t="shared" si="123"/>
        <v>0</v>
      </c>
      <c r="H538" s="409">
        <f t="shared" si="123"/>
        <v>0</v>
      </c>
      <c r="I538" s="409">
        <f t="shared" si="123"/>
        <v>0</v>
      </c>
      <c r="J538" s="409">
        <f t="shared" si="123"/>
        <v>0</v>
      </c>
      <c r="K538" s="409">
        <f t="shared" si="123"/>
        <v>0</v>
      </c>
      <c r="L538" s="409">
        <f t="shared" si="123"/>
        <v>0</v>
      </c>
      <c r="M538" s="425"/>
      <c r="N538" s="493"/>
      <c r="O538" s="493"/>
      <c r="P538" s="493"/>
    </row>
    <row r="539" spans="1:16" ht="17.25" hidden="1">
      <c r="A539" s="1516" t="s">
        <v>501</v>
      </c>
      <c r="B539" s="1516"/>
      <c r="C539" s="409">
        <f>C526-C527-C536</f>
        <v>0</v>
      </c>
      <c r="D539" s="409">
        <f aca="true" t="shared" si="124" ref="D539:L539">D526-D527-D536</f>
        <v>0</v>
      </c>
      <c r="E539" s="409">
        <f t="shared" si="124"/>
        <v>0</v>
      </c>
      <c r="F539" s="409">
        <f t="shared" si="124"/>
        <v>0</v>
      </c>
      <c r="G539" s="409">
        <f t="shared" si="124"/>
        <v>0</v>
      </c>
      <c r="H539" s="409">
        <f t="shared" si="124"/>
        <v>0</v>
      </c>
      <c r="I539" s="409">
        <f t="shared" si="124"/>
        <v>0</v>
      </c>
      <c r="J539" s="409">
        <f t="shared" si="124"/>
        <v>0</v>
      </c>
      <c r="K539" s="409">
        <f t="shared" si="124"/>
        <v>0</v>
      </c>
      <c r="L539" s="409">
        <f t="shared" si="124"/>
        <v>0</v>
      </c>
      <c r="M539" s="425"/>
      <c r="N539" s="493"/>
      <c r="O539" s="493"/>
      <c r="P539" s="493"/>
    </row>
    <row r="540" spans="1:16" ht="18.75" hidden="1">
      <c r="A540" s="478"/>
      <c r="B540" s="494" t="s">
        <v>520</v>
      </c>
      <c r="C540" s="494"/>
      <c r="D540" s="466"/>
      <c r="E540" s="466"/>
      <c r="F540" s="466"/>
      <c r="G540" s="1518" t="s">
        <v>520</v>
      </c>
      <c r="H540" s="1518"/>
      <c r="I540" s="1518"/>
      <c r="J540" s="1518"/>
      <c r="K540" s="1518"/>
      <c r="L540" s="1518"/>
      <c r="M540" s="481"/>
      <c r="N540" s="481"/>
      <c r="O540" s="481"/>
      <c r="P540" s="481"/>
    </row>
    <row r="541" spans="1:16" ht="18.75" hidden="1">
      <c r="A541" s="1551" t="s">
        <v>4</v>
      </c>
      <c r="B541" s="1551"/>
      <c r="C541" s="1551"/>
      <c r="D541" s="1551"/>
      <c r="E541" s="466"/>
      <c r="F541" s="466"/>
      <c r="G541" s="495"/>
      <c r="H541" s="1552" t="s">
        <v>521</v>
      </c>
      <c r="I541" s="1552"/>
      <c r="J541" s="1552"/>
      <c r="K541" s="1552"/>
      <c r="L541" s="1552"/>
      <c r="M541" s="481"/>
      <c r="N541" s="481"/>
      <c r="O541" s="481"/>
      <c r="P541" s="481"/>
    </row>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sheetData>
  <sheetProtection/>
  <mergeCells count="342">
    <mergeCell ref="A511:B511"/>
    <mergeCell ref="D511:J511"/>
    <mergeCell ref="G540:L540"/>
    <mergeCell ref="A541:D541"/>
    <mergeCell ref="H541:L541"/>
    <mergeCell ref="A539:B539"/>
    <mergeCell ref="C516:C519"/>
    <mergeCell ref="D518:D519"/>
    <mergeCell ref="E518:J518"/>
    <mergeCell ref="D516:L516"/>
    <mergeCell ref="N6:P6"/>
    <mergeCell ref="M519:P519"/>
    <mergeCell ref="A520:B520"/>
    <mergeCell ref="A538:B538"/>
    <mergeCell ref="K514:L514"/>
    <mergeCell ref="A513:B513"/>
    <mergeCell ref="K511:L511"/>
    <mergeCell ref="A512:C512"/>
    <mergeCell ref="D512:J512"/>
    <mergeCell ref="K512:L512"/>
    <mergeCell ref="D517:J517"/>
    <mergeCell ref="K517:K519"/>
    <mergeCell ref="D513:J513"/>
    <mergeCell ref="K513:L513"/>
    <mergeCell ref="K515:L515"/>
    <mergeCell ref="L517:L519"/>
    <mergeCell ref="A516:B519"/>
    <mergeCell ref="M476:P476"/>
    <mergeCell ref="A477:B477"/>
    <mergeCell ref="A495:B495"/>
    <mergeCell ref="A496:B496"/>
    <mergeCell ref="L474:L476"/>
    <mergeCell ref="D475:D476"/>
    <mergeCell ref="E475:J475"/>
    <mergeCell ref="G497:L497"/>
    <mergeCell ref="A498:D498"/>
    <mergeCell ref="H498:L498"/>
    <mergeCell ref="K471:L471"/>
    <mergeCell ref="K472:L472"/>
    <mergeCell ref="A473:B476"/>
    <mergeCell ref="C473:C476"/>
    <mergeCell ref="D473:L473"/>
    <mergeCell ref="D474:J474"/>
    <mergeCell ref="K474:K476"/>
    <mergeCell ref="A469:C469"/>
    <mergeCell ref="D469:J469"/>
    <mergeCell ref="K469:L469"/>
    <mergeCell ref="A470:B470"/>
    <mergeCell ref="D470:J470"/>
    <mergeCell ref="K470:L470"/>
    <mergeCell ref="A468:B468"/>
    <mergeCell ref="D468:J468"/>
    <mergeCell ref="K468:L468"/>
    <mergeCell ref="L432:L434"/>
    <mergeCell ref="D433:D434"/>
    <mergeCell ref="E433:J433"/>
    <mergeCell ref="A454:B454"/>
    <mergeCell ref="G455:L455"/>
    <mergeCell ref="A456:D456"/>
    <mergeCell ref="H456:L456"/>
    <mergeCell ref="M434:P434"/>
    <mergeCell ref="A435:B435"/>
    <mergeCell ref="A453:B453"/>
    <mergeCell ref="A428:B428"/>
    <mergeCell ref="D428:J428"/>
    <mergeCell ref="K428:L428"/>
    <mergeCell ref="K429:L429"/>
    <mergeCell ref="K430:L430"/>
    <mergeCell ref="A431:B434"/>
    <mergeCell ref="C431:C434"/>
    <mergeCell ref="D431:L431"/>
    <mergeCell ref="D432:J432"/>
    <mergeCell ref="K432:K434"/>
    <mergeCell ref="A426:B426"/>
    <mergeCell ref="D426:J426"/>
    <mergeCell ref="K426:L426"/>
    <mergeCell ref="A427:C427"/>
    <mergeCell ref="D427:J427"/>
    <mergeCell ref="K427:L427"/>
    <mergeCell ref="M387:P387"/>
    <mergeCell ref="A388:B388"/>
    <mergeCell ref="A406:B406"/>
    <mergeCell ref="A407:B407"/>
    <mergeCell ref="L385:L387"/>
    <mergeCell ref="D386:D387"/>
    <mergeCell ref="E386:J386"/>
    <mergeCell ref="G408:L408"/>
    <mergeCell ref="A409:D409"/>
    <mergeCell ref="H409:L409"/>
    <mergeCell ref="K382:L382"/>
    <mergeCell ref="A384:B387"/>
    <mergeCell ref="C384:C387"/>
    <mergeCell ref="D384:L384"/>
    <mergeCell ref="D385:J385"/>
    <mergeCell ref="K385:K387"/>
    <mergeCell ref="A380:C380"/>
    <mergeCell ref="D380:J380"/>
    <mergeCell ref="K380:L380"/>
    <mergeCell ref="A381:B381"/>
    <mergeCell ref="D381:J381"/>
    <mergeCell ref="K381:L381"/>
    <mergeCell ref="A379:B379"/>
    <mergeCell ref="D379:J379"/>
    <mergeCell ref="K379:L379"/>
    <mergeCell ref="L342:L344"/>
    <mergeCell ref="D343:D344"/>
    <mergeCell ref="E343:J343"/>
    <mergeCell ref="A364:B364"/>
    <mergeCell ref="G365:L365"/>
    <mergeCell ref="A366:D366"/>
    <mergeCell ref="H366:L366"/>
    <mergeCell ref="M344:P344"/>
    <mergeCell ref="A345:B345"/>
    <mergeCell ref="A363:B363"/>
    <mergeCell ref="A338:B338"/>
    <mergeCell ref="D338:J338"/>
    <mergeCell ref="K338:L338"/>
    <mergeCell ref="K339:L339"/>
    <mergeCell ref="K340:L340"/>
    <mergeCell ref="A341:B344"/>
    <mergeCell ref="C341:C344"/>
    <mergeCell ref="D341:L341"/>
    <mergeCell ref="D342:J342"/>
    <mergeCell ref="K342:K344"/>
    <mergeCell ref="A336:B336"/>
    <mergeCell ref="D336:J336"/>
    <mergeCell ref="K336:L336"/>
    <mergeCell ref="A337:C337"/>
    <mergeCell ref="D337:J337"/>
    <mergeCell ref="K337:L337"/>
    <mergeCell ref="M301:P301"/>
    <mergeCell ref="A302:B302"/>
    <mergeCell ref="A320:B320"/>
    <mergeCell ref="A321:B321"/>
    <mergeCell ref="L299:L301"/>
    <mergeCell ref="D300:D301"/>
    <mergeCell ref="E300:J300"/>
    <mergeCell ref="A323:D323"/>
    <mergeCell ref="H323:L323"/>
    <mergeCell ref="K296:L296"/>
    <mergeCell ref="K297:L297"/>
    <mergeCell ref="A298:B301"/>
    <mergeCell ref="C298:C301"/>
    <mergeCell ref="D298:L298"/>
    <mergeCell ref="D299:J299"/>
    <mergeCell ref="K299:K301"/>
    <mergeCell ref="G322:L322"/>
    <mergeCell ref="A293:B293"/>
    <mergeCell ref="D293:J293"/>
    <mergeCell ref="K293:L293"/>
    <mergeCell ref="A294:C294"/>
    <mergeCell ref="D294:J294"/>
    <mergeCell ref="K294:L294"/>
    <mergeCell ref="D258:D259"/>
    <mergeCell ref="E258:J258"/>
    <mergeCell ref="A295:B295"/>
    <mergeCell ref="D295:J295"/>
    <mergeCell ref="G280:L280"/>
    <mergeCell ref="A281:D281"/>
    <mergeCell ref="H281:L281"/>
    <mergeCell ref="A278:B278"/>
    <mergeCell ref="A279:B279"/>
    <mergeCell ref="K295:L295"/>
    <mergeCell ref="M259:P259"/>
    <mergeCell ref="A260:B260"/>
    <mergeCell ref="K253:L253"/>
    <mergeCell ref="K254:L254"/>
    <mergeCell ref="A256:B259"/>
    <mergeCell ref="C256:C259"/>
    <mergeCell ref="D256:L256"/>
    <mergeCell ref="D257:J257"/>
    <mergeCell ref="K257:K259"/>
    <mergeCell ref="L257:L259"/>
    <mergeCell ref="A253:B253"/>
    <mergeCell ref="D253:J253"/>
    <mergeCell ref="A251:B251"/>
    <mergeCell ref="D251:J251"/>
    <mergeCell ref="K251:L251"/>
    <mergeCell ref="A252:C252"/>
    <mergeCell ref="D252:J252"/>
    <mergeCell ref="K252:L252"/>
    <mergeCell ref="M220:P220"/>
    <mergeCell ref="A221:B221"/>
    <mergeCell ref="A239:B239"/>
    <mergeCell ref="A240:B240"/>
    <mergeCell ref="L218:L220"/>
    <mergeCell ref="D219:D220"/>
    <mergeCell ref="E219:J219"/>
    <mergeCell ref="A242:D242"/>
    <mergeCell ref="H242:L242"/>
    <mergeCell ref="K215:L215"/>
    <mergeCell ref="K216:L216"/>
    <mergeCell ref="A217:B220"/>
    <mergeCell ref="C217:C220"/>
    <mergeCell ref="D217:L217"/>
    <mergeCell ref="D218:J218"/>
    <mergeCell ref="K218:K220"/>
    <mergeCell ref="A202:D202"/>
    <mergeCell ref="H202:L202"/>
    <mergeCell ref="A213:C213"/>
    <mergeCell ref="D213:J213"/>
    <mergeCell ref="K213:L213"/>
    <mergeCell ref="G241:L241"/>
    <mergeCell ref="A214:B214"/>
    <mergeCell ref="D214:J214"/>
    <mergeCell ref="K214:L214"/>
    <mergeCell ref="C177:C180"/>
    <mergeCell ref="D177:L177"/>
    <mergeCell ref="A212:B212"/>
    <mergeCell ref="D212:J212"/>
    <mergeCell ref="K212:L212"/>
    <mergeCell ref="L178:L180"/>
    <mergeCell ref="D179:D180"/>
    <mergeCell ref="K178:K180"/>
    <mergeCell ref="E179:J179"/>
    <mergeCell ref="A200:B200"/>
    <mergeCell ref="G201:L201"/>
    <mergeCell ref="D173:J173"/>
    <mergeCell ref="K173:L173"/>
    <mergeCell ref="A158:B158"/>
    <mergeCell ref="M180:P180"/>
    <mergeCell ref="A181:B181"/>
    <mergeCell ref="A199:B199"/>
    <mergeCell ref="A174:B174"/>
    <mergeCell ref="D174:J174"/>
    <mergeCell ref="K174:L174"/>
    <mergeCell ref="K176:L176"/>
    <mergeCell ref="A177:B180"/>
    <mergeCell ref="D178:J178"/>
    <mergeCell ref="M139:P139"/>
    <mergeCell ref="A172:B172"/>
    <mergeCell ref="D172:J172"/>
    <mergeCell ref="K172:L172"/>
    <mergeCell ref="A173:C173"/>
    <mergeCell ref="A159:B159"/>
    <mergeCell ref="L137:L139"/>
    <mergeCell ref="D138:D139"/>
    <mergeCell ref="E138:J138"/>
    <mergeCell ref="A140:B140"/>
    <mergeCell ref="D133:J133"/>
    <mergeCell ref="K133:L133"/>
    <mergeCell ref="G160:L160"/>
    <mergeCell ref="D136:L136"/>
    <mergeCell ref="D137:J137"/>
    <mergeCell ref="K137:K139"/>
    <mergeCell ref="A132:C132"/>
    <mergeCell ref="D132:J132"/>
    <mergeCell ref="K132:L132"/>
    <mergeCell ref="A161:D161"/>
    <mergeCell ref="H161:L161"/>
    <mergeCell ref="K134:L134"/>
    <mergeCell ref="K135:L135"/>
    <mergeCell ref="A136:B139"/>
    <mergeCell ref="C136:C139"/>
    <mergeCell ref="A133:B133"/>
    <mergeCell ref="A131:B131"/>
    <mergeCell ref="D131:J131"/>
    <mergeCell ref="K131:L131"/>
    <mergeCell ref="L94:L96"/>
    <mergeCell ref="D95:D96"/>
    <mergeCell ref="E95:J95"/>
    <mergeCell ref="A116:B116"/>
    <mergeCell ref="G117:L117"/>
    <mergeCell ref="A118:D118"/>
    <mergeCell ref="H118:L118"/>
    <mergeCell ref="A89:C89"/>
    <mergeCell ref="D89:J89"/>
    <mergeCell ref="K89:L89"/>
    <mergeCell ref="M96:P96"/>
    <mergeCell ref="K90:L90"/>
    <mergeCell ref="K91:L91"/>
    <mergeCell ref="K92:L92"/>
    <mergeCell ref="A93:B96"/>
    <mergeCell ref="C93:C96"/>
    <mergeCell ref="L53:L55"/>
    <mergeCell ref="D54:D55"/>
    <mergeCell ref="E54:J54"/>
    <mergeCell ref="A97:B97"/>
    <mergeCell ref="A115:B115"/>
    <mergeCell ref="A90:B90"/>
    <mergeCell ref="D90:J90"/>
    <mergeCell ref="D93:L93"/>
    <mergeCell ref="D94:J94"/>
    <mergeCell ref="K94:K96"/>
    <mergeCell ref="A88:B88"/>
    <mergeCell ref="D88:J88"/>
    <mergeCell ref="K88:L88"/>
    <mergeCell ref="D52:L52"/>
    <mergeCell ref="D53:J53"/>
    <mergeCell ref="K53:K55"/>
    <mergeCell ref="G76:L76"/>
    <mergeCell ref="A77:D77"/>
    <mergeCell ref="H77:L77"/>
    <mergeCell ref="A75:B75"/>
    <mergeCell ref="M55:P55"/>
    <mergeCell ref="A56:B56"/>
    <mergeCell ref="A74:B74"/>
    <mergeCell ref="A49:B49"/>
    <mergeCell ref="D49:J49"/>
    <mergeCell ref="K49:L49"/>
    <mergeCell ref="K50:L50"/>
    <mergeCell ref="K51:L51"/>
    <mergeCell ref="A52:B55"/>
    <mergeCell ref="C52:C55"/>
    <mergeCell ref="B34:C34"/>
    <mergeCell ref="A48:C48"/>
    <mergeCell ref="D48:J48"/>
    <mergeCell ref="K48:L48"/>
    <mergeCell ref="A47:B47"/>
    <mergeCell ref="D47:J47"/>
    <mergeCell ref="K47:L47"/>
    <mergeCell ref="A39:D39"/>
    <mergeCell ref="H39:L39"/>
    <mergeCell ref="A3:B3"/>
    <mergeCell ref="D1:J1"/>
    <mergeCell ref="K4:L4"/>
    <mergeCell ref="K5:L5"/>
    <mergeCell ref="K1:L1"/>
    <mergeCell ref="A2:C2"/>
    <mergeCell ref="D2:J2"/>
    <mergeCell ref="K2:L2"/>
    <mergeCell ref="E5:I5"/>
    <mergeCell ref="A1:B1"/>
    <mergeCell ref="G32:L32"/>
    <mergeCell ref="I30:L30"/>
    <mergeCell ref="D6:L6"/>
    <mergeCell ref="D7:J7"/>
    <mergeCell ref="K7:K9"/>
    <mergeCell ref="L7:L9"/>
    <mergeCell ref="E8:J8"/>
    <mergeCell ref="A31:D31"/>
    <mergeCell ref="H31:L31"/>
    <mergeCell ref="D3:J3"/>
    <mergeCell ref="K3:L3"/>
    <mergeCell ref="M9:P9"/>
    <mergeCell ref="B32:C32"/>
    <mergeCell ref="C6:C9"/>
    <mergeCell ref="D8:D9"/>
    <mergeCell ref="A10:B10"/>
    <mergeCell ref="A6:B9"/>
    <mergeCell ref="A28:B28"/>
    <mergeCell ref="A29:B29"/>
  </mergeCells>
  <printOptions/>
  <pageMargins left="0.2362204724409449" right="0" top="0.1968503937007874" bottom="0" header="0.1968503937007874" footer="0.1968503937007874"/>
  <pageSetup horizontalDpi="600" verticalDpi="600" orientation="landscape" paperSize="9" r:id="rId2"/>
  <headerFooter differentFirst="1" alignWithMargins="0">
    <oddFooter>&amp;C&amp;P</oddFooter>
  </headerFooter>
  <drawing r:id="rId1"/>
</worksheet>
</file>

<file path=xl/worksheets/sheet22.xml><?xml version="1.0" encoding="utf-8"?>
<worksheet xmlns="http://schemas.openxmlformats.org/spreadsheetml/2006/main" xmlns:r="http://schemas.openxmlformats.org/officeDocument/2006/relationships">
  <sheetPr>
    <tabColor indexed="19"/>
  </sheetPr>
  <dimension ref="A1:U122"/>
  <sheetViews>
    <sheetView showZeros="0" view="pageBreakPreview" zoomScale="85" zoomScaleSheetLayoutView="85" zoomScalePageLayoutView="0" workbookViewId="0" topLeftCell="A1">
      <selection activeCell="T1" sqref="T1:U16384"/>
    </sheetView>
  </sheetViews>
  <sheetFormatPr defaultColWidth="9.00390625" defaultRowHeight="15.75"/>
  <cols>
    <col min="1" max="1" width="5.125" style="899" customWidth="1"/>
    <col min="2" max="2" width="20.375" style="630" customWidth="1"/>
    <col min="3" max="3" width="9.625" style="673" customWidth="1"/>
    <col min="4" max="5" width="7.375" style="26" customWidth="1"/>
    <col min="6" max="6" width="6.50390625" style="26" customWidth="1"/>
    <col min="7" max="7" width="6.75390625" style="26" customWidth="1"/>
    <col min="8" max="8" width="8.875" style="673" customWidth="1"/>
    <col min="9" max="9" width="7.875" style="673" customWidth="1"/>
    <col min="10" max="11" width="6.25390625" style="26" customWidth="1"/>
    <col min="12" max="12" width="5.75390625" style="26" customWidth="1"/>
    <col min="13" max="14" width="5.875" style="26" customWidth="1"/>
    <col min="15" max="15" width="6.125" style="26" customWidth="1"/>
    <col min="16" max="16" width="5.25390625" style="26" customWidth="1"/>
    <col min="17" max="17" width="7.50390625" style="673" customWidth="1"/>
    <col min="18" max="18" width="8.75390625" style="673" customWidth="1"/>
    <col min="19" max="19" width="8.625" style="26" customWidth="1"/>
    <col min="20" max="20" width="9.00390625" style="658" customWidth="1"/>
    <col min="21" max="21" width="9.00390625" style="709" customWidth="1"/>
    <col min="22" max="16384" width="9.00390625" style="26" customWidth="1"/>
  </cols>
  <sheetData>
    <row r="1" spans="1:20" ht="20.25" customHeight="1">
      <c r="A1" s="889" t="s">
        <v>34</v>
      </c>
      <c r="B1" s="731"/>
      <c r="C1" s="732"/>
      <c r="D1" s="733"/>
      <c r="E1" s="1578" t="s">
        <v>83</v>
      </c>
      <c r="F1" s="1578"/>
      <c r="G1" s="1578"/>
      <c r="H1" s="1578"/>
      <c r="I1" s="1578"/>
      <c r="J1" s="1578"/>
      <c r="K1" s="1578"/>
      <c r="L1" s="1578"/>
      <c r="M1" s="1578"/>
      <c r="N1" s="1578"/>
      <c r="O1" s="1578"/>
      <c r="P1" s="734" t="s">
        <v>576</v>
      </c>
      <c r="Q1" s="735"/>
      <c r="R1" s="735"/>
      <c r="S1" s="734"/>
      <c r="T1" s="736"/>
    </row>
    <row r="2" spans="1:20" ht="17.25" customHeight="1">
      <c r="A2" s="1583" t="s">
        <v>344</v>
      </c>
      <c r="B2" s="1583"/>
      <c r="C2" s="1583"/>
      <c r="D2" s="1583"/>
      <c r="E2" s="1579" t="s">
        <v>42</v>
      </c>
      <c r="F2" s="1579"/>
      <c r="G2" s="1579"/>
      <c r="H2" s="1579"/>
      <c r="I2" s="1579"/>
      <c r="J2" s="1579"/>
      <c r="K2" s="1579"/>
      <c r="L2" s="1579"/>
      <c r="M2" s="1579"/>
      <c r="N2" s="1579"/>
      <c r="O2" s="1579"/>
      <c r="P2" s="1584" t="str">
        <f>'Thong tin'!B4</f>
        <v>CTHADS Hải Phòng</v>
      </c>
      <c r="Q2" s="1584"/>
      <c r="R2" s="1584"/>
      <c r="S2" s="1584"/>
      <c r="T2" s="736"/>
    </row>
    <row r="3" spans="1:20" ht="19.5" customHeight="1">
      <c r="A3" s="1583" t="s">
        <v>345</v>
      </c>
      <c r="B3" s="1583"/>
      <c r="C3" s="1583"/>
      <c r="D3" s="1583"/>
      <c r="E3" s="1580" t="str">
        <f>'Thong tin'!B3</f>
        <v>10 tháng / năm 2017</v>
      </c>
      <c r="F3" s="1580"/>
      <c r="G3" s="1580"/>
      <c r="H3" s="1580"/>
      <c r="I3" s="1580"/>
      <c r="J3" s="1580"/>
      <c r="K3" s="1580"/>
      <c r="L3" s="1580"/>
      <c r="M3" s="1580"/>
      <c r="N3" s="1580"/>
      <c r="O3" s="1580"/>
      <c r="P3" s="734" t="s">
        <v>784</v>
      </c>
      <c r="Q3" s="732"/>
      <c r="R3" s="735"/>
      <c r="S3" s="734"/>
      <c r="T3" s="736"/>
    </row>
    <row r="4" spans="1:20" ht="14.25" customHeight="1">
      <c r="A4" s="890" t="s">
        <v>217</v>
      </c>
      <c r="B4" s="731"/>
      <c r="C4" s="732"/>
      <c r="D4" s="737"/>
      <c r="E4" s="737"/>
      <c r="F4" s="737"/>
      <c r="G4" s="737"/>
      <c r="H4" s="732"/>
      <c r="I4" s="732"/>
      <c r="J4" s="737"/>
      <c r="K4" s="737"/>
      <c r="L4" s="737"/>
      <c r="M4" s="737"/>
      <c r="N4" s="738"/>
      <c r="O4" s="738"/>
      <c r="P4" s="1568" t="s">
        <v>412</v>
      </c>
      <c r="Q4" s="1568"/>
      <c r="R4" s="1568"/>
      <c r="S4" s="1568"/>
      <c r="T4" s="736"/>
    </row>
    <row r="5" spans="1:20" ht="21.75" customHeight="1">
      <c r="A5" s="889"/>
      <c r="B5" s="731"/>
      <c r="C5" s="739"/>
      <c r="D5" s="733"/>
      <c r="E5" s="733"/>
      <c r="F5" s="733"/>
      <c r="G5" s="733"/>
      <c r="H5" s="739"/>
      <c r="I5" s="739"/>
      <c r="J5" s="733"/>
      <c r="K5" s="733"/>
      <c r="L5" s="733"/>
      <c r="M5" s="733"/>
      <c r="N5" s="733"/>
      <c r="O5" s="733"/>
      <c r="P5" s="733"/>
      <c r="Q5" s="740" t="s">
        <v>343</v>
      </c>
      <c r="R5" s="741"/>
      <c r="S5" s="742"/>
      <c r="T5" s="736"/>
    </row>
    <row r="6" spans="1:20" ht="19.5" customHeight="1">
      <c r="A6" s="1569" t="s">
        <v>72</v>
      </c>
      <c r="B6" s="1570"/>
      <c r="C6" s="1576" t="s">
        <v>218</v>
      </c>
      <c r="D6" s="1576"/>
      <c r="E6" s="1576"/>
      <c r="F6" s="1581" t="s">
        <v>134</v>
      </c>
      <c r="G6" s="1581" t="s">
        <v>219</v>
      </c>
      <c r="H6" s="1582" t="s">
        <v>137</v>
      </c>
      <c r="I6" s="1582"/>
      <c r="J6" s="1582"/>
      <c r="K6" s="1582"/>
      <c r="L6" s="1582"/>
      <c r="M6" s="1582"/>
      <c r="N6" s="1582"/>
      <c r="O6" s="1582"/>
      <c r="P6" s="1582"/>
      <c r="Q6" s="1582"/>
      <c r="R6" s="1577" t="s">
        <v>354</v>
      </c>
      <c r="S6" s="1576" t="s">
        <v>578</v>
      </c>
      <c r="T6" s="736"/>
    </row>
    <row r="7" spans="1:21" s="411" customFormat="1" ht="27" customHeight="1">
      <c r="A7" s="1571"/>
      <c r="B7" s="1572"/>
      <c r="C7" s="1577" t="s">
        <v>51</v>
      </c>
      <c r="D7" s="1576" t="s">
        <v>7</v>
      </c>
      <c r="E7" s="1576"/>
      <c r="F7" s="1581"/>
      <c r="G7" s="1581"/>
      <c r="H7" s="1575" t="s">
        <v>137</v>
      </c>
      <c r="I7" s="1576" t="s">
        <v>138</v>
      </c>
      <c r="J7" s="1576"/>
      <c r="K7" s="1576"/>
      <c r="L7" s="1576"/>
      <c r="M7" s="1576"/>
      <c r="N7" s="1576"/>
      <c r="O7" s="1576"/>
      <c r="P7" s="1576"/>
      <c r="Q7" s="1575" t="s">
        <v>151</v>
      </c>
      <c r="R7" s="1577"/>
      <c r="S7" s="1576"/>
      <c r="T7" s="743"/>
      <c r="U7" s="710"/>
    </row>
    <row r="8" spans="1:20" ht="21.75" customHeight="1">
      <c r="A8" s="1571"/>
      <c r="B8" s="1572"/>
      <c r="C8" s="1577"/>
      <c r="D8" s="1576" t="s">
        <v>221</v>
      </c>
      <c r="E8" s="1576" t="s">
        <v>222</v>
      </c>
      <c r="F8" s="1581"/>
      <c r="G8" s="1581"/>
      <c r="H8" s="1575"/>
      <c r="I8" s="1575" t="s">
        <v>577</v>
      </c>
      <c r="J8" s="1576" t="s">
        <v>7</v>
      </c>
      <c r="K8" s="1576"/>
      <c r="L8" s="1576"/>
      <c r="M8" s="1576"/>
      <c r="N8" s="1576"/>
      <c r="O8" s="1576"/>
      <c r="P8" s="1576"/>
      <c r="Q8" s="1575"/>
      <c r="R8" s="1577"/>
      <c r="S8" s="1576"/>
      <c r="T8" s="736"/>
    </row>
    <row r="9" spans="1:20" ht="84" customHeight="1">
      <c r="A9" s="1573"/>
      <c r="B9" s="1574"/>
      <c r="C9" s="1577"/>
      <c r="D9" s="1576"/>
      <c r="E9" s="1576"/>
      <c r="F9" s="1581"/>
      <c r="G9" s="1581"/>
      <c r="H9" s="1575"/>
      <c r="I9" s="1575"/>
      <c r="J9" s="744" t="s">
        <v>223</v>
      </c>
      <c r="K9" s="744" t="s">
        <v>224</v>
      </c>
      <c r="L9" s="745" t="s">
        <v>142</v>
      </c>
      <c r="M9" s="745" t="s">
        <v>225</v>
      </c>
      <c r="N9" s="745" t="s">
        <v>146</v>
      </c>
      <c r="O9" s="745" t="s">
        <v>355</v>
      </c>
      <c r="P9" s="745" t="s">
        <v>150</v>
      </c>
      <c r="Q9" s="1575"/>
      <c r="R9" s="1577"/>
      <c r="S9" s="1576"/>
      <c r="T9" s="736"/>
    </row>
    <row r="10" spans="1:20" ht="22.5" customHeight="1">
      <c r="A10" s="1560" t="s">
        <v>6</v>
      </c>
      <c r="B10" s="1561"/>
      <c r="C10" s="746">
        <v>1</v>
      </c>
      <c r="D10" s="747">
        <v>2</v>
      </c>
      <c r="E10" s="747">
        <v>3</v>
      </c>
      <c r="F10" s="747">
        <v>4</v>
      </c>
      <c r="G10" s="747">
        <v>5</v>
      </c>
      <c r="H10" s="746">
        <v>6</v>
      </c>
      <c r="I10" s="746">
        <v>7</v>
      </c>
      <c r="J10" s="747">
        <v>8</v>
      </c>
      <c r="K10" s="747">
        <v>9</v>
      </c>
      <c r="L10" s="747">
        <v>10</v>
      </c>
      <c r="M10" s="747">
        <v>11</v>
      </c>
      <c r="N10" s="747">
        <v>12</v>
      </c>
      <c r="O10" s="747">
        <v>13</v>
      </c>
      <c r="P10" s="747">
        <v>14</v>
      </c>
      <c r="Q10" s="746">
        <v>15</v>
      </c>
      <c r="R10" s="746">
        <v>16</v>
      </c>
      <c r="S10" s="748">
        <v>17</v>
      </c>
      <c r="T10" s="736"/>
    </row>
    <row r="11" spans="1:21" s="885" customFormat="1" ht="25.5" customHeight="1">
      <c r="A11" s="1563" t="s">
        <v>37</v>
      </c>
      <c r="B11" s="1564"/>
      <c r="C11" s="880">
        <f aca="true" t="shared" si="0" ref="C11:Q11">C12+C30</f>
        <v>15706</v>
      </c>
      <c r="D11" s="880">
        <f t="shared" si="0"/>
        <v>8042</v>
      </c>
      <c r="E11" s="880">
        <f t="shared" si="0"/>
        <v>7664</v>
      </c>
      <c r="F11" s="880">
        <f t="shared" si="0"/>
        <v>220</v>
      </c>
      <c r="G11" s="880">
        <f t="shared" si="0"/>
        <v>14</v>
      </c>
      <c r="H11" s="880">
        <f t="shared" si="0"/>
        <v>15486</v>
      </c>
      <c r="I11" s="880">
        <f t="shared" si="0"/>
        <v>10077</v>
      </c>
      <c r="J11" s="880">
        <f t="shared" si="0"/>
        <v>6414</v>
      </c>
      <c r="K11" s="880">
        <f t="shared" si="0"/>
        <v>208</v>
      </c>
      <c r="L11" s="880">
        <f t="shared" si="0"/>
        <v>3424</v>
      </c>
      <c r="M11" s="880">
        <f t="shared" si="0"/>
        <v>10</v>
      </c>
      <c r="N11" s="880">
        <f t="shared" si="0"/>
        <v>9</v>
      </c>
      <c r="O11" s="880">
        <f t="shared" si="0"/>
        <v>0</v>
      </c>
      <c r="P11" s="880">
        <f t="shared" si="0"/>
        <v>12</v>
      </c>
      <c r="Q11" s="880">
        <f t="shared" si="0"/>
        <v>5409</v>
      </c>
      <c r="R11" s="881">
        <f>SUM(L11:Q11)</f>
        <v>8864</v>
      </c>
      <c r="S11" s="882">
        <f>(J11+K11)/I11*100</f>
        <v>65.71400218318945</v>
      </c>
      <c r="T11" s="883"/>
      <c r="U11" s="884"/>
    </row>
    <row r="12" spans="1:21" s="885" customFormat="1" ht="25.5" customHeight="1">
      <c r="A12" s="891" t="s">
        <v>0</v>
      </c>
      <c r="B12" s="886" t="s">
        <v>98</v>
      </c>
      <c r="C12" s="880">
        <f aca="true" t="shared" si="1" ref="C12:Q12">SUM(C13:C29)</f>
        <v>648</v>
      </c>
      <c r="D12" s="880">
        <f t="shared" si="1"/>
        <v>147</v>
      </c>
      <c r="E12" s="880">
        <f t="shared" si="1"/>
        <v>501</v>
      </c>
      <c r="F12" s="880">
        <f t="shared" si="1"/>
        <v>60</v>
      </c>
      <c r="G12" s="880">
        <f t="shared" si="1"/>
        <v>0</v>
      </c>
      <c r="H12" s="880">
        <f t="shared" si="1"/>
        <v>588</v>
      </c>
      <c r="I12" s="880">
        <f t="shared" si="1"/>
        <v>568</v>
      </c>
      <c r="J12" s="880">
        <f t="shared" si="1"/>
        <v>313</v>
      </c>
      <c r="K12" s="880">
        <f t="shared" si="1"/>
        <v>4</v>
      </c>
      <c r="L12" s="880">
        <f t="shared" si="1"/>
        <v>248</v>
      </c>
      <c r="M12" s="880">
        <f t="shared" si="1"/>
        <v>0</v>
      </c>
      <c r="N12" s="880">
        <f t="shared" si="1"/>
        <v>3</v>
      </c>
      <c r="O12" s="880">
        <f t="shared" si="1"/>
        <v>0</v>
      </c>
      <c r="P12" s="880">
        <f t="shared" si="1"/>
        <v>0</v>
      </c>
      <c r="Q12" s="880">
        <f t="shared" si="1"/>
        <v>20</v>
      </c>
      <c r="R12" s="881">
        <f aca="true" t="shared" si="2" ref="R12:R75">SUM(L12:Q12)</f>
        <v>271</v>
      </c>
      <c r="S12" s="882">
        <f aca="true" t="shared" si="3" ref="S12:S75">(J12+K12)/I12*100</f>
        <v>55.809859154929576</v>
      </c>
      <c r="T12" s="887"/>
      <c r="U12" s="884"/>
    </row>
    <row r="13" spans="1:20" ht="25.5" customHeight="1">
      <c r="A13" s="892" t="s">
        <v>54</v>
      </c>
      <c r="B13" s="751" t="s">
        <v>681</v>
      </c>
      <c r="C13" s="752">
        <f>D13+E13</f>
        <v>10</v>
      </c>
      <c r="D13" s="772">
        <v>3</v>
      </c>
      <c r="E13" s="752">
        <v>7</v>
      </c>
      <c r="F13" s="752"/>
      <c r="G13" s="752"/>
      <c r="H13" s="752">
        <f aca="true" t="shared" si="4" ref="H13:H29">I13+Q13</f>
        <v>10</v>
      </c>
      <c r="I13" s="752">
        <f>SUM(J13:P13)</f>
        <v>10</v>
      </c>
      <c r="J13" s="752">
        <v>9</v>
      </c>
      <c r="K13" s="752"/>
      <c r="L13" s="752">
        <v>1</v>
      </c>
      <c r="M13" s="752"/>
      <c r="N13" s="752"/>
      <c r="O13" s="752"/>
      <c r="P13" s="752"/>
      <c r="Q13" s="752"/>
      <c r="R13" s="752">
        <f aca="true" t="shared" si="5" ref="R13:R29">SUM(L13:Q13)</f>
        <v>1</v>
      </c>
      <c r="S13" s="749">
        <f t="shared" si="3"/>
        <v>90</v>
      </c>
      <c r="T13" s="736"/>
    </row>
    <row r="14" spans="1:20" ht="25.5" customHeight="1">
      <c r="A14" s="892" t="s">
        <v>55</v>
      </c>
      <c r="B14" s="751" t="s">
        <v>682</v>
      </c>
      <c r="C14" s="752">
        <f aca="true" t="shared" si="6" ref="C14:C29">D14+E14</f>
        <v>19</v>
      </c>
      <c r="D14" s="772">
        <v>2</v>
      </c>
      <c r="E14" s="752">
        <v>17</v>
      </c>
      <c r="F14" s="752"/>
      <c r="G14" s="752"/>
      <c r="H14" s="752">
        <f t="shared" si="4"/>
        <v>19</v>
      </c>
      <c r="I14" s="752">
        <f>SUM(J14:P14)</f>
        <v>19</v>
      </c>
      <c r="J14" s="752">
        <v>15</v>
      </c>
      <c r="K14" s="752"/>
      <c r="L14" s="752">
        <v>4</v>
      </c>
      <c r="M14" s="752"/>
      <c r="N14" s="752"/>
      <c r="O14" s="752"/>
      <c r="P14" s="752"/>
      <c r="Q14" s="752"/>
      <c r="R14" s="752">
        <f t="shared" si="5"/>
        <v>4</v>
      </c>
      <c r="S14" s="749">
        <f t="shared" si="3"/>
        <v>78.94736842105263</v>
      </c>
      <c r="T14" s="736"/>
    </row>
    <row r="15" spans="1:20" ht="25.5" customHeight="1">
      <c r="A15" s="892" t="s">
        <v>141</v>
      </c>
      <c r="B15" s="751" t="s">
        <v>680</v>
      </c>
      <c r="C15" s="752">
        <f t="shared" si="6"/>
        <v>19</v>
      </c>
      <c r="D15" s="772">
        <v>1</v>
      </c>
      <c r="E15" s="752">
        <v>18</v>
      </c>
      <c r="F15" s="752"/>
      <c r="G15" s="752"/>
      <c r="H15" s="752">
        <f t="shared" si="4"/>
        <v>19</v>
      </c>
      <c r="I15" s="752">
        <f aca="true" t="shared" si="7" ref="I15:I29">SUM(J15:P15)</f>
        <v>19</v>
      </c>
      <c r="J15" s="752">
        <v>17</v>
      </c>
      <c r="K15" s="752"/>
      <c r="L15" s="752">
        <v>2</v>
      </c>
      <c r="M15" s="752"/>
      <c r="N15" s="752"/>
      <c r="O15" s="752"/>
      <c r="P15" s="752"/>
      <c r="Q15" s="752"/>
      <c r="R15" s="752">
        <f t="shared" si="5"/>
        <v>2</v>
      </c>
      <c r="S15" s="749">
        <f t="shared" si="3"/>
        <v>89.47368421052632</v>
      </c>
      <c r="T15" s="736"/>
    </row>
    <row r="16" spans="1:20" ht="25.5" customHeight="1">
      <c r="A16" s="892" t="s">
        <v>143</v>
      </c>
      <c r="B16" s="751" t="s">
        <v>777</v>
      </c>
      <c r="C16" s="752">
        <f t="shared" si="6"/>
        <v>28</v>
      </c>
      <c r="D16" s="772">
        <v>1</v>
      </c>
      <c r="E16" s="752">
        <v>27</v>
      </c>
      <c r="F16" s="752">
        <v>3</v>
      </c>
      <c r="G16" s="752"/>
      <c r="H16" s="752">
        <f t="shared" si="4"/>
        <v>25</v>
      </c>
      <c r="I16" s="752">
        <f t="shared" si="7"/>
        <v>25</v>
      </c>
      <c r="J16" s="752">
        <v>18</v>
      </c>
      <c r="K16" s="752"/>
      <c r="L16" s="752">
        <v>5</v>
      </c>
      <c r="M16" s="752"/>
      <c r="N16" s="752">
        <v>2</v>
      </c>
      <c r="O16" s="752"/>
      <c r="P16" s="752"/>
      <c r="Q16" s="752"/>
      <c r="R16" s="752">
        <f t="shared" si="5"/>
        <v>7</v>
      </c>
      <c r="S16" s="749">
        <f t="shared" si="3"/>
        <v>72</v>
      </c>
      <c r="T16" s="736"/>
    </row>
    <row r="17" spans="1:20" ht="25.5" customHeight="1">
      <c r="A17" s="892" t="s">
        <v>145</v>
      </c>
      <c r="B17" s="751" t="s">
        <v>683</v>
      </c>
      <c r="C17" s="752">
        <f t="shared" si="6"/>
        <v>35</v>
      </c>
      <c r="D17" s="772">
        <v>15</v>
      </c>
      <c r="E17" s="752">
        <v>20</v>
      </c>
      <c r="F17" s="752"/>
      <c r="G17" s="752"/>
      <c r="H17" s="752">
        <f t="shared" si="4"/>
        <v>35</v>
      </c>
      <c r="I17" s="752">
        <f t="shared" si="7"/>
        <v>33</v>
      </c>
      <c r="J17" s="752">
        <v>16</v>
      </c>
      <c r="K17" s="752"/>
      <c r="L17" s="752">
        <v>17</v>
      </c>
      <c r="M17" s="752"/>
      <c r="N17" s="752"/>
      <c r="O17" s="752"/>
      <c r="P17" s="752"/>
      <c r="Q17" s="752">
        <v>2</v>
      </c>
      <c r="R17" s="752">
        <f t="shared" si="5"/>
        <v>19</v>
      </c>
      <c r="S17" s="749">
        <f t="shared" si="3"/>
        <v>48.484848484848484</v>
      </c>
      <c r="T17" s="736"/>
    </row>
    <row r="18" spans="1:20" ht="25.5" customHeight="1">
      <c r="A18" s="892" t="s">
        <v>147</v>
      </c>
      <c r="B18" s="751" t="s">
        <v>684</v>
      </c>
      <c r="C18" s="752">
        <f t="shared" si="6"/>
        <v>36</v>
      </c>
      <c r="D18" s="772">
        <v>11</v>
      </c>
      <c r="E18" s="752">
        <v>25</v>
      </c>
      <c r="F18" s="752">
        <v>1</v>
      </c>
      <c r="G18" s="752"/>
      <c r="H18" s="752">
        <f t="shared" si="4"/>
        <v>35</v>
      </c>
      <c r="I18" s="752">
        <f t="shared" si="7"/>
        <v>32</v>
      </c>
      <c r="J18" s="752">
        <v>12</v>
      </c>
      <c r="K18" s="752">
        <v>1</v>
      </c>
      <c r="L18" s="753">
        <v>19</v>
      </c>
      <c r="M18" s="753"/>
      <c r="N18" s="754"/>
      <c r="O18" s="754"/>
      <c r="P18" s="754"/>
      <c r="Q18" s="754">
        <v>3</v>
      </c>
      <c r="R18" s="752">
        <f t="shared" si="5"/>
        <v>22</v>
      </c>
      <c r="S18" s="749">
        <f t="shared" si="3"/>
        <v>40.625</v>
      </c>
      <c r="T18" s="736"/>
    </row>
    <row r="19" spans="1:20" ht="25.5" customHeight="1">
      <c r="A19" s="892" t="s">
        <v>149</v>
      </c>
      <c r="B19" s="751" t="s">
        <v>685</v>
      </c>
      <c r="C19" s="752">
        <f t="shared" si="6"/>
        <v>24</v>
      </c>
      <c r="D19" s="772">
        <v>8</v>
      </c>
      <c r="E19" s="754">
        <v>16</v>
      </c>
      <c r="F19" s="752"/>
      <c r="G19" s="754"/>
      <c r="H19" s="752">
        <f>I19+Q19</f>
        <v>24</v>
      </c>
      <c r="I19" s="752">
        <f t="shared" si="7"/>
        <v>22</v>
      </c>
      <c r="J19" s="754">
        <v>10</v>
      </c>
      <c r="K19" s="754"/>
      <c r="L19" s="754">
        <v>12</v>
      </c>
      <c r="M19" s="754"/>
      <c r="N19" s="753"/>
      <c r="O19" s="754"/>
      <c r="P19" s="754"/>
      <c r="Q19" s="754">
        <v>2</v>
      </c>
      <c r="R19" s="752">
        <f t="shared" si="5"/>
        <v>14</v>
      </c>
      <c r="S19" s="749">
        <f t="shared" si="3"/>
        <v>45.45454545454545</v>
      </c>
      <c r="T19" s="736"/>
    </row>
    <row r="20" spans="1:20" ht="25.5" customHeight="1">
      <c r="A20" s="892" t="s">
        <v>186</v>
      </c>
      <c r="B20" s="751" t="s">
        <v>686</v>
      </c>
      <c r="C20" s="752">
        <f t="shared" si="6"/>
        <v>23</v>
      </c>
      <c r="D20" s="772">
        <v>6</v>
      </c>
      <c r="E20" s="754">
        <v>17</v>
      </c>
      <c r="F20" s="752">
        <v>2</v>
      </c>
      <c r="G20" s="754"/>
      <c r="H20" s="752">
        <f t="shared" si="4"/>
        <v>21</v>
      </c>
      <c r="I20" s="752">
        <f t="shared" si="7"/>
        <v>21</v>
      </c>
      <c r="J20" s="754">
        <v>10</v>
      </c>
      <c r="K20" s="754">
        <v>0</v>
      </c>
      <c r="L20" s="754">
        <v>11</v>
      </c>
      <c r="M20" s="754"/>
      <c r="N20" s="753"/>
      <c r="O20" s="754"/>
      <c r="P20" s="754"/>
      <c r="Q20" s="754"/>
      <c r="R20" s="752">
        <f t="shared" si="5"/>
        <v>11</v>
      </c>
      <c r="S20" s="749">
        <f t="shared" si="3"/>
        <v>47.61904761904761</v>
      </c>
      <c r="T20" s="736"/>
    </row>
    <row r="21" spans="1:20" ht="25.5" customHeight="1">
      <c r="A21" s="892" t="s">
        <v>575</v>
      </c>
      <c r="B21" s="751" t="s">
        <v>688</v>
      </c>
      <c r="C21" s="752">
        <f t="shared" si="6"/>
        <v>48</v>
      </c>
      <c r="D21" s="772">
        <v>10</v>
      </c>
      <c r="E21" s="773">
        <f>25+12+1</f>
        <v>38</v>
      </c>
      <c r="F21" s="752">
        <v>7</v>
      </c>
      <c r="G21" s="773"/>
      <c r="H21" s="752">
        <f t="shared" si="4"/>
        <v>41</v>
      </c>
      <c r="I21" s="752">
        <f t="shared" si="7"/>
        <v>41</v>
      </c>
      <c r="J21" s="773">
        <v>21</v>
      </c>
      <c r="K21" s="773"/>
      <c r="L21" s="773">
        <v>20</v>
      </c>
      <c r="M21" s="773"/>
      <c r="N21" s="753"/>
      <c r="O21" s="773"/>
      <c r="P21" s="773"/>
      <c r="Q21" s="773"/>
      <c r="R21" s="752">
        <f t="shared" si="5"/>
        <v>20</v>
      </c>
      <c r="S21" s="749">
        <f t="shared" si="3"/>
        <v>51.21951219512195</v>
      </c>
      <c r="T21" s="736"/>
    </row>
    <row r="22" spans="1:20" ht="25.5" customHeight="1">
      <c r="A22" s="892" t="s">
        <v>687</v>
      </c>
      <c r="B22" s="751" t="s">
        <v>690</v>
      </c>
      <c r="C22" s="752">
        <f t="shared" si="6"/>
        <v>24</v>
      </c>
      <c r="D22" s="772">
        <v>11</v>
      </c>
      <c r="E22" s="754">
        <v>13</v>
      </c>
      <c r="F22" s="752"/>
      <c r="G22" s="754"/>
      <c r="H22" s="752">
        <f t="shared" si="4"/>
        <v>24</v>
      </c>
      <c r="I22" s="752">
        <f t="shared" si="7"/>
        <v>24</v>
      </c>
      <c r="J22" s="754">
        <v>8</v>
      </c>
      <c r="K22" s="754"/>
      <c r="L22" s="754">
        <v>16</v>
      </c>
      <c r="M22" s="754"/>
      <c r="N22" s="753"/>
      <c r="O22" s="754"/>
      <c r="P22" s="754"/>
      <c r="Q22" s="754"/>
      <c r="R22" s="752">
        <f t="shared" si="5"/>
        <v>16</v>
      </c>
      <c r="S22" s="749">
        <f t="shared" si="3"/>
        <v>33.33333333333333</v>
      </c>
      <c r="T22" s="736"/>
    </row>
    <row r="23" spans="1:20" ht="25.5" customHeight="1">
      <c r="A23" s="892" t="s">
        <v>689</v>
      </c>
      <c r="B23" s="751" t="s">
        <v>820</v>
      </c>
      <c r="C23" s="752">
        <f t="shared" si="6"/>
        <v>43</v>
      </c>
      <c r="D23" s="772">
        <v>15</v>
      </c>
      <c r="E23" s="754">
        <v>28</v>
      </c>
      <c r="F23" s="752">
        <v>8</v>
      </c>
      <c r="G23" s="754"/>
      <c r="H23" s="752">
        <f t="shared" si="4"/>
        <v>35</v>
      </c>
      <c r="I23" s="752">
        <f t="shared" si="7"/>
        <v>34</v>
      </c>
      <c r="J23" s="754">
        <v>15</v>
      </c>
      <c r="K23" s="754"/>
      <c r="L23" s="754">
        <v>19</v>
      </c>
      <c r="M23" s="754"/>
      <c r="N23" s="753"/>
      <c r="O23" s="754"/>
      <c r="P23" s="754"/>
      <c r="Q23" s="754">
        <v>1</v>
      </c>
      <c r="R23" s="752">
        <f t="shared" si="5"/>
        <v>20</v>
      </c>
      <c r="S23" s="749">
        <f t="shared" si="3"/>
        <v>44.11764705882353</v>
      </c>
      <c r="T23" s="736"/>
    </row>
    <row r="24" spans="1:20" ht="25.5" customHeight="1">
      <c r="A24" s="892" t="s">
        <v>691</v>
      </c>
      <c r="B24" s="751" t="s">
        <v>821</v>
      </c>
      <c r="C24" s="752">
        <f>D24+E24</f>
        <v>77</v>
      </c>
      <c r="D24" s="752">
        <f>17</f>
        <v>17</v>
      </c>
      <c r="E24" s="752">
        <v>60</v>
      </c>
      <c r="F24" s="752">
        <f>6+4+4</f>
        <v>14</v>
      </c>
      <c r="G24" s="752"/>
      <c r="H24" s="752">
        <f>I24+Q24</f>
        <v>63</v>
      </c>
      <c r="I24" s="752">
        <f>SUM(J24:P24)</f>
        <v>59</v>
      </c>
      <c r="J24" s="752">
        <v>32</v>
      </c>
      <c r="K24" s="752"/>
      <c r="L24" s="753">
        <v>27</v>
      </c>
      <c r="M24" s="753"/>
      <c r="N24" s="754"/>
      <c r="O24" s="754"/>
      <c r="P24" s="754"/>
      <c r="Q24" s="754">
        <f>4</f>
        <v>4</v>
      </c>
      <c r="R24" s="752">
        <f t="shared" si="5"/>
        <v>31</v>
      </c>
      <c r="S24" s="749">
        <f t="shared" si="3"/>
        <v>54.23728813559322</v>
      </c>
      <c r="T24" s="736"/>
    </row>
    <row r="25" spans="1:20" ht="25.5" customHeight="1">
      <c r="A25" s="892" t="s">
        <v>692</v>
      </c>
      <c r="B25" s="751" t="s">
        <v>694</v>
      </c>
      <c r="C25" s="752">
        <f>D25+E25</f>
        <v>66</v>
      </c>
      <c r="D25" s="752">
        <v>18</v>
      </c>
      <c r="E25" s="752">
        <v>48</v>
      </c>
      <c r="F25" s="752">
        <v>10</v>
      </c>
      <c r="G25" s="752"/>
      <c r="H25" s="752">
        <f>I25+Q25</f>
        <v>56</v>
      </c>
      <c r="I25" s="752">
        <f>SUM(J25:P25)</f>
        <v>55</v>
      </c>
      <c r="J25" s="752">
        <v>31</v>
      </c>
      <c r="K25" s="752">
        <v>2</v>
      </c>
      <c r="L25" s="753">
        <v>21</v>
      </c>
      <c r="M25" s="753"/>
      <c r="N25" s="754">
        <v>1</v>
      </c>
      <c r="O25" s="754"/>
      <c r="P25" s="754"/>
      <c r="Q25" s="754">
        <v>1</v>
      </c>
      <c r="R25" s="754">
        <f>H25-J25-K25</f>
        <v>23</v>
      </c>
      <c r="S25" s="749">
        <f t="shared" si="3"/>
        <v>60</v>
      </c>
      <c r="T25" s="736"/>
    </row>
    <row r="26" spans="1:20" ht="25.5" customHeight="1">
      <c r="A26" s="892" t="s">
        <v>693</v>
      </c>
      <c r="B26" s="751" t="s">
        <v>696</v>
      </c>
      <c r="C26" s="752">
        <f t="shared" si="6"/>
        <v>44</v>
      </c>
      <c r="D26" s="772">
        <v>8</v>
      </c>
      <c r="E26" s="754">
        <v>36</v>
      </c>
      <c r="F26" s="752">
        <v>6</v>
      </c>
      <c r="G26" s="754"/>
      <c r="H26" s="752">
        <f t="shared" si="4"/>
        <v>38</v>
      </c>
      <c r="I26" s="752">
        <f t="shared" si="7"/>
        <v>38</v>
      </c>
      <c r="J26" s="754">
        <v>19</v>
      </c>
      <c r="K26" s="754"/>
      <c r="L26" s="754">
        <v>19</v>
      </c>
      <c r="M26" s="754">
        <v>0</v>
      </c>
      <c r="N26" s="753"/>
      <c r="O26" s="754"/>
      <c r="P26" s="754"/>
      <c r="Q26" s="754"/>
      <c r="R26" s="752">
        <f t="shared" si="5"/>
        <v>19</v>
      </c>
      <c r="S26" s="749">
        <f t="shared" si="3"/>
        <v>50</v>
      </c>
      <c r="T26" s="736"/>
    </row>
    <row r="27" spans="1:20" ht="25.5" customHeight="1">
      <c r="A27" s="892" t="s">
        <v>695</v>
      </c>
      <c r="B27" s="751" t="s">
        <v>698</v>
      </c>
      <c r="C27" s="752">
        <f t="shared" si="6"/>
        <v>72</v>
      </c>
      <c r="D27" s="772">
        <v>12</v>
      </c>
      <c r="E27" s="752">
        <f>57+2+1</f>
        <v>60</v>
      </c>
      <c r="F27" s="752">
        <f>4+2+1</f>
        <v>7</v>
      </c>
      <c r="G27" s="774"/>
      <c r="H27" s="752">
        <f t="shared" si="4"/>
        <v>65</v>
      </c>
      <c r="I27" s="752">
        <f t="shared" si="7"/>
        <v>64</v>
      </c>
      <c r="J27" s="752">
        <f>23+3+6</f>
        <v>32</v>
      </c>
      <c r="K27" s="752"/>
      <c r="L27" s="753">
        <v>32</v>
      </c>
      <c r="M27" s="753"/>
      <c r="N27" s="753"/>
      <c r="O27" s="754"/>
      <c r="P27" s="754"/>
      <c r="Q27" s="754">
        <v>1</v>
      </c>
      <c r="R27" s="752">
        <f t="shared" si="5"/>
        <v>33</v>
      </c>
      <c r="S27" s="749">
        <f t="shared" si="3"/>
        <v>50</v>
      </c>
      <c r="T27" s="736"/>
    </row>
    <row r="28" spans="1:20" ht="25.5" customHeight="1">
      <c r="A28" s="892" t="s">
        <v>697</v>
      </c>
      <c r="B28" s="751" t="s">
        <v>700</v>
      </c>
      <c r="C28" s="752">
        <f t="shared" si="6"/>
        <v>45</v>
      </c>
      <c r="D28" s="752">
        <v>7</v>
      </c>
      <c r="E28" s="752">
        <v>38</v>
      </c>
      <c r="F28" s="752">
        <v>2</v>
      </c>
      <c r="G28" s="752"/>
      <c r="H28" s="752">
        <f t="shared" si="4"/>
        <v>43</v>
      </c>
      <c r="I28" s="752">
        <f t="shared" si="7"/>
        <v>41</v>
      </c>
      <c r="J28" s="752">
        <v>29</v>
      </c>
      <c r="K28" s="752"/>
      <c r="L28" s="753">
        <v>12</v>
      </c>
      <c r="M28" s="753"/>
      <c r="N28" s="753"/>
      <c r="O28" s="754"/>
      <c r="P28" s="754"/>
      <c r="Q28" s="754">
        <v>2</v>
      </c>
      <c r="R28" s="752">
        <f t="shared" si="5"/>
        <v>14</v>
      </c>
      <c r="S28" s="749">
        <f t="shared" si="3"/>
        <v>70.73170731707317</v>
      </c>
      <c r="T28" s="736"/>
    </row>
    <row r="29" spans="1:20" ht="25.5" customHeight="1">
      <c r="A29" s="892" t="s">
        <v>699</v>
      </c>
      <c r="B29" s="751" t="s">
        <v>822</v>
      </c>
      <c r="C29" s="752">
        <f t="shared" si="6"/>
        <v>35</v>
      </c>
      <c r="D29" s="752">
        <v>2</v>
      </c>
      <c r="E29" s="752">
        <v>33</v>
      </c>
      <c r="F29" s="752">
        <v>0</v>
      </c>
      <c r="G29" s="752"/>
      <c r="H29" s="752">
        <f t="shared" si="4"/>
        <v>35</v>
      </c>
      <c r="I29" s="752">
        <f t="shared" si="7"/>
        <v>31</v>
      </c>
      <c r="J29" s="752">
        <v>19</v>
      </c>
      <c r="K29" s="752">
        <v>1</v>
      </c>
      <c r="L29" s="753">
        <v>11</v>
      </c>
      <c r="M29" s="753"/>
      <c r="N29" s="753"/>
      <c r="O29" s="754"/>
      <c r="P29" s="754"/>
      <c r="Q29" s="754">
        <v>4</v>
      </c>
      <c r="R29" s="752">
        <f t="shared" si="5"/>
        <v>15</v>
      </c>
      <c r="S29" s="749">
        <f t="shared" si="3"/>
        <v>64.51612903225806</v>
      </c>
      <c r="T29" s="736"/>
    </row>
    <row r="30" spans="1:21" s="885" customFormat="1" ht="25.5" customHeight="1">
      <c r="A30" s="891" t="s">
        <v>1</v>
      </c>
      <c r="B30" s="886" t="s">
        <v>701</v>
      </c>
      <c r="C30" s="880">
        <f aca="true" t="shared" si="8" ref="C30:Q30">C31+C37+C41+C44+C46+C54+C60+C67+C71+C75+C85+C88+C92+C104+C107</f>
        <v>15058</v>
      </c>
      <c r="D30" s="880">
        <f t="shared" si="8"/>
        <v>7895</v>
      </c>
      <c r="E30" s="880">
        <f t="shared" si="8"/>
        <v>7163</v>
      </c>
      <c r="F30" s="880">
        <f t="shared" si="8"/>
        <v>160</v>
      </c>
      <c r="G30" s="880">
        <f t="shared" si="8"/>
        <v>14</v>
      </c>
      <c r="H30" s="880">
        <f t="shared" si="8"/>
        <v>14898</v>
      </c>
      <c r="I30" s="880">
        <f t="shared" si="8"/>
        <v>9509</v>
      </c>
      <c r="J30" s="880">
        <f t="shared" si="8"/>
        <v>6101</v>
      </c>
      <c r="K30" s="880">
        <f t="shared" si="8"/>
        <v>204</v>
      </c>
      <c r="L30" s="880">
        <f t="shared" si="8"/>
        <v>3176</v>
      </c>
      <c r="M30" s="880">
        <f t="shared" si="8"/>
        <v>10</v>
      </c>
      <c r="N30" s="880">
        <f t="shared" si="8"/>
        <v>6</v>
      </c>
      <c r="O30" s="880">
        <f t="shared" si="8"/>
        <v>0</v>
      </c>
      <c r="P30" s="880">
        <f t="shared" si="8"/>
        <v>12</v>
      </c>
      <c r="Q30" s="880">
        <f t="shared" si="8"/>
        <v>5389</v>
      </c>
      <c r="R30" s="881">
        <f t="shared" si="2"/>
        <v>8593</v>
      </c>
      <c r="S30" s="882">
        <f t="shared" si="3"/>
        <v>66.30560521611105</v>
      </c>
      <c r="T30" s="887"/>
      <c r="U30" s="884"/>
    </row>
    <row r="31" spans="1:21" s="885" customFormat="1" ht="25.5" customHeight="1">
      <c r="A31" s="891">
        <v>1</v>
      </c>
      <c r="B31" s="888" t="s">
        <v>702</v>
      </c>
      <c r="C31" s="880">
        <f>SUM(C32:C36)</f>
        <v>1266</v>
      </c>
      <c r="D31" s="880">
        <f aca="true" t="shared" si="9" ref="D31:Q31">SUM(D32:D36)</f>
        <v>632</v>
      </c>
      <c r="E31" s="880">
        <f t="shared" si="9"/>
        <v>634</v>
      </c>
      <c r="F31" s="880">
        <f t="shared" si="9"/>
        <v>20</v>
      </c>
      <c r="G31" s="880">
        <f t="shared" si="9"/>
        <v>0</v>
      </c>
      <c r="H31" s="880">
        <f t="shared" si="9"/>
        <v>1246</v>
      </c>
      <c r="I31" s="880">
        <f t="shared" si="9"/>
        <v>857</v>
      </c>
      <c r="J31" s="880">
        <f t="shared" si="9"/>
        <v>516</v>
      </c>
      <c r="K31" s="880">
        <f t="shared" si="9"/>
        <v>36</v>
      </c>
      <c r="L31" s="880">
        <f t="shared" si="9"/>
        <v>304</v>
      </c>
      <c r="M31" s="880">
        <f t="shared" si="9"/>
        <v>1</v>
      </c>
      <c r="N31" s="880">
        <f t="shared" si="9"/>
        <v>0</v>
      </c>
      <c r="O31" s="880">
        <f t="shared" si="9"/>
        <v>0</v>
      </c>
      <c r="P31" s="880">
        <f t="shared" si="9"/>
        <v>0</v>
      </c>
      <c r="Q31" s="880">
        <f t="shared" si="9"/>
        <v>389</v>
      </c>
      <c r="R31" s="881">
        <f t="shared" si="2"/>
        <v>694</v>
      </c>
      <c r="S31" s="882">
        <f t="shared" si="3"/>
        <v>64.41073512252042</v>
      </c>
      <c r="T31" s="887"/>
      <c r="U31" s="884"/>
    </row>
    <row r="32" spans="1:20" ht="25.5" customHeight="1">
      <c r="A32" s="893">
        <v>1.1</v>
      </c>
      <c r="B32" s="756" t="s">
        <v>859</v>
      </c>
      <c r="C32" s="752">
        <f>SUM(E32+D32)</f>
        <v>167</v>
      </c>
      <c r="D32" s="752">
        <v>81</v>
      </c>
      <c r="E32" s="752">
        <v>86</v>
      </c>
      <c r="F32" s="752">
        <v>5</v>
      </c>
      <c r="G32" s="752">
        <v>0</v>
      </c>
      <c r="H32" s="752">
        <f>SUM(Q32+I32)</f>
        <v>162</v>
      </c>
      <c r="I32" s="752">
        <f>SUM(K32+L32+M32+N32+O32+P32+J32)</f>
        <v>120</v>
      </c>
      <c r="J32" s="752">
        <v>80</v>
      </c>
      <c r="K32" s="752">
        <v>6</v>
      </c>
      <c r="L32" s="752">
        <v>34</v>
      </c>
      <c r="M32" s="777">
        <v>0</v>
      </c>
      <c r="N32" s="752">
        <v>0</v>
      </c>
      <c r="O32" s="752">
        <v>0</v>
      </c>
      <c r="P32" s="752">
        <v>0</v>
      </c>
      <c r="Q32" s="752">
        <v>42</v>
      </c>
      <c r="R32" s="776">
        <f t="shared" si="2"/>
        <v>76</v>
      </c>
      <c r="S32" s="749">
        <f t="shared" si="3"/>
        <v>71.66666666666667</v>
      </c>
      <c r="T32" s="736"/>
    </row>
    <row r="33" spans="1:20" ht="25.5" customHeight="1">
      <c r="A33" s="893">
        <v>1.2</v>
      </c>
      <c r="B33" s="756" t="s">
        <v>823</v>
      </c>
      <c r="C33" s="752">
        <f>SUM(E33+D33)</f>
        <v>272</v>
      </c>
      <c r="D33" s="752">
        <v>115</v>
      </c>
      <c r="E33" s="752">
        <v>157</v>
      </c>
      <c r="F33" s="752">
        <v>2</v>
      </c>
      <c r="G33" s="752"/>
      <c r="H33" s="752">
        <f>SUM(Q33+I33)</f>
        <v>270</v>
      </c>
      <c r="I33" s="752">
        <f>SUM(K33+L33+M33+N33+O33+P33+J33)</f>
        <v>194</v>
      </c>
      <c r="J33" s="752">
        <v>104</v>
      </c>
      <c r="K33" s="752">
        <v>4</v>
      </c>
      <c r="L33" s="752">
        <v>85</v>
      </c>
      <c r="M33" s="752">
        <v>1</v>
      </c>
      <c r="N33" s="752"/>
      <c r="O33" s="752"/>
      <c r="P33" s="752">
        <v>0</v>
      </c>
      <c r="Q33" s="752">
        <v>76</v>
      </c>
      <c r="R33" s="776">
        <f t="shared" si="2"/>
        <v>162</v>
      </c>
      <c r="S33" s="749">
        <f t="shared" si="3"/>
        <v>55.670103092783506</v>
      </c>
      <c r="T33" s="736"/>
    </row>
    <row r="34" spans="1:20" ht="25.5" customHeight="1">
      <c r="A34" s="893">
        <v>1.3</v>
      </c>
      <c r="B34" s="756" t="s">
        <v>703</v>
      </c>
      <c r="C34" s="752">
        <f>SUM(E34+D34)</f>
        <v>227</v>
      </c>
      <c r="D34" s="752">
        <v>122</v>
      </c>
      <c r="E34" s="752">
        <v>105</v>
      </c>
      <c r="F34" s="752">
        <v>4</v>
      </c>
      <c r="G34" s="752"/>
      <c r="H34" s="752">
        <f>SUM(Q34+I34)</f>
        <v>223</v>
      </c>
      <c r="I34" s="752">
        <f>SUM(K34+L34+M34+N34+O34+P34+J34)</f>
        <v>150</v>
      </c>
      <c r="J34" s="752">
        <v>95</v>
      </c>
      <c r="K34" s="752">
        <v>12</v>
      </c>
      <c r="L34" s="752">
        <v>43</v>
      </c>
      <c r="M34" s="777">
        <v>0</v>
      </c>
      <c r="N34" s="752"/>
      <c r="O34" s="752">
        <v>0</v>
      </c>
      <c r="P34" s="752">
        <v>0</v>
      </c>
      <c r="Q34" s="752">
        <v>73</v>
      </c>
      <c r="R34" s="776">
        <f t="shared" si="2"/>
        <v>116</v>
      </c>
      <c r="S34" s="749">
        <f t="shared" si="3"/>
        <v>71.33333333333334</v>
      </c>
      <c r="T34" s="736"/>
    </row>
    <row r="35" spans="1:20" ht="25.5" customHeight="1">
      <c r="A35" s="893">
        <v>1.4</v>
      </c>
      <c r="B35" s="756" t="s">
        <v>824</v>
      </c>
      <c r="C35" s="752">
        <f>SUM(E35+D35)</f>
        <v>311</v>
      </c>
      <c r="D35" s="752">
        <v>171</v>
      </c>
      <c r="E35" s="752">
        <v>140</v>
      </c>
      <c r="F35" s="752">
        <v>7</v>
      </c>
      <c r="G35" s="752"/>
      <c r="H35" s="752">
        <f>SUM(Q35+I35)</f>
        <v>304</v>
      </c>
      <c r="I35" s="752">
        <f>SUM(K35+L35+M35+N35+O35+P35+J35)</f>
        <v>196</v>
      </c>
      <c r="J35" s="752">
        <v>119</v>
      </c>
      <c r="K35" s="752">
        <v>8</v>
      </c>
      <c r="L35" s="752">
        <v>69</v>
      </c>
      <c r="M35" s="777">
        <v>0</v>
      </c>
      <c r="N35" s="752"/>
      <c r="O35" s="752"/>
      <c r="P35" s="752">
        <v>0</v>
      </c>
      <c r="Q35" s="752">
        <v>108</v>
      </c>
      <c r="R35" s="776">
        <f t="shared" si="2"/>
        <v>177</v>
      </c>
      <c r="S35" s="749">
        <f t="shared" si="3"/>
        <v>64.79591836734694</v>
      </c>
      <c r="T35" s="736"/>
    </row>
    <row r="36" spans="1:20" ht="25.5" customHeight="1">
      <c r="A36" s="893">
        <v>1.5</v>
      </c>
      <c r="B36" s="756" t="s">
        <v>764</v>
      </c>
      <c r="C36" s="752">
        <f>SUM(E36+D36)</f>
        <v>289</v>
      </c>
      <c r="D36" s="752">
        <v>143</v>
      </c>
      <c r="E36" s="752">
        <v>146</v>
      </c>
      <c r="F36" s="752">
        <v>2</v>
      </c>
      <c r="G36" s="752"/>
      <c r="H36" s="752">
        <f>SUM(Q36+I36)</f>
        <v>287</v>
      </c>
      <c r="I36" s="752">
        <f>SUM(K36+L36+M36+N36+O36+P36+J36)</f>
        <v>197</v>
      </c>
      <c r="J36" s="752">
        <v>118</v>
      </c>
      <c r="K36" s="752">
        <v>6</v>
      </c>
      <c r="L36" s="752">
        <v>73</v>
      </c>
      <c r="M36" s="777">
        <v>0</v>
      </c>
      <c r="N36" s="752"/>
      <c r="O36" s="752"/>
      <c r="P36" s="752"/>
      <c r="Q36" s="752">
        <v>90</v>
      </c>
      <c r="R36" s="776">
        <f t="shared" si="2"/>
        <v>163</v>
      </c>
      <c r="S36" s="749">
        <f t="shared" si="3"/>
        <v>62.944162436548226</v>
      </c>
      <c r="T36" s="736"/>
    </row>
    <row r="37" spans="1:21" s="635" customFormat="1" ht="25.5" customHeight="1">
      <c r="A37" s="893">
        <v>2</v>
      </c>
      <c r="B37" s="755" t="s">
        <v>704</v>
      </c>
      <c r="C37" s="775">
        <f>SUM(C38:C40)</f>
        <v>579</v>
      </c>
      <c r="D37" s="775">
        <f aca="true" t="shared" si="10" ref="D37:Q37">SUM(D38:D40)</f>
        <v>183</v>
      </c>
      <c r="E37" s="775">
        <f t="shared" si="10"/>
        <v>396</v>
      </c>
      <c r="F37" s="775">
        <f t="shared" si="10"/>
        <v>4</v>
      </c>
      <c r="G37" s="775">
        <f t="shared" si="10"/>
        <v>0</v>
      </c>
      <c r="H37" s="775">
        <f t="shared" si="10"/>
        <v>575</v>
      </c>
      <c r="I37" s="775">
        <f t="shared" si="10"/>
        <v>424</v>
      </c>
      <c r="J37" s="775">
        <f t="shared" si="10"/>
        <v>376</v>
      </c>
      <c r="K37" s="775">
        <f t="shared" si="10"/>
        <v>7</v>
      </c>
      <c r="L37" s="775">
        <f t="shared" si="10"/>
        <v>38</v>
      </c>
      <c r="M37" s="775">
        <f t="shared" si="10"/>
        <v>0</v>
      </c>
      <c r="N37" s="775">
        <f t="shared" si="10"/>
        <v>1</v>
      </c>
      <c r="O37" s="775">
        <f t="shared" si="10"/>
        <v>0</v>
      </c>
      <c r="P37" s="775">
        <f t="shared" si="10"/>
        <v>2</v>
      </c>
      <c r="Q37" s="775">
        <f t="shared" si="10"/>
        <v>151</v>
      </c>
      <c r="R37" s="776">
        <f t="shared" si="2"/>
        <v>192</v>
      </c>
      <c r="S37" s="749">
        <f t="shared" si="3"/>
        <v>90.33018867924528</v>
      </c>
      <c r="T37" s="736"/>
      <c r="U37" s="711"/>
    </row>
    <row r="38" spans="1:20" ht="25.5" customHeight="1">
      <c r="A38" s="893">
        <v>2.1</v>
      </c>
      <c r="B38" s="757" t="s">
        <v>705</v>
      </c>
      <c r="C38" s="752">
        <f>D38+E38</f>
        <v>169</v>
      </c>
      <c r="D38" s="752">
        <v>14</v>
      </c>
      <c r="E38" s="752">
        <v>155</v>
      </c>
      <c r="F38" s="752">
        <v>0</v>
      </c>
      <c r="G38" s="752"/>
      <c r="H38" s="752">
        <f>I38+Q38</f>
        <v>169</v>
      </c>
      <c r="I38" s="752">
        <f>J38+K38+L38+M38+N38+O38+P38</f>
        <v>158</v>
      </c>
      <c r="J38" s="752">
        <v>155</v>
      </c>
      <c r="K38" s="752">
        <v>1</v>
      </c>
      <c r="L38" s="752">
        <v>2</v>
      </c>
      <c r="M38" s="752"/>
      <c r="N38" s="752"/>
      <c r="O38" s="752"/>
      <c r="P38" s="778"/>
      <c r="Q38" s="754">
        <v>11</v>
      </c>
      <c r="R38" s="776">
        <f t="shared" si="2"/>
        <v>13</v>
      </c>
      <c r="S38" s="749">
        <f t="shared" si="3"/>
        <v>98.73417721518987</v>
      </c>
      <c r="T38" s="736"/>
    </row>
    <row r="39" spans="1:21" s="635" customFormat="1" ht="23.25" customHeight="1">
      <c r="A39" s="893">
        <v>2.2</v>
      </c>
      <c r="B39" s="757" t="s">
        <v>706</v>
      </c>
      <c r="C39" s="752">
        <f>D39+E39</f>
        <v>190</v>
      </c>
      <c r="D39" s="752">
        <v>74</v>
      </c>
      <c r="E39" s="752">
        <v>116</v>
      </c>
      <c r="F39" s="752">
        <f>C39-H39</f>
        <v>4</v>
      </c>
      <c r="G39" s="752"/>
      <c r="H39" s="752">
        <f>I39+Q39</f>
        <v>186</v>
      </c>
      <c r="I39" s="752">
        <f>J39+K39+L39+M39+N39+O39+P39</f>
        <v>120</v>
      </c>
      <c r="J39" s="752">
        <v>102</v>
      </c>
      <c r="K39" s="752">
        <v>1</v>
      </c>
      <c r="L39" s="752">
        <v>17</v>
      </c>
      <c r="M39" s="752"/>
      <c r="N39" s="752"/>
      <c r="O39" s="752"/>
      <c r="P39" s="778">
        <v>0</v>
      </c>
      <c r="Q39" s="754">
        <v>66</v>
      </c>
      <c r="R39" s="776">
        <f t="shared" si="2"/>
        <v>83</v>
      </c>
      <c r="S39" s="749">
        <f t="shared" si="3"/>
        <v>85.83333333333333</v>
      </c>
      <c r="T39" s="736"/>
      <c r="U39" s="711"/>
    </row>
    <row r="40" spans="1:20" ht="23.25" customHeight="1">
      <c r="A40" s="893">
        <v>2.3</v>
      </c>
      <c r="B40" s="757" t="s">
        <v>707</v>
      </c>
      <c r="C40" s="752">
        <f>D40+E40</f>
        <v>220</v>
      </c>
      <c r="D40" s="752">
        <v>95</v>
      </c>
      <c r="E40" s="752">
        <v>125</v>
      </c>
      <c r="F40" s="752"/>
      <c r="G40" s="752"/>
      <c r="H40" s="752">
        <f>I40+Q40</f>
        <v>220</v>
      </c>
      <c r="I40" s="752">
        <f>J40+K40+L40+M40+N40+O40+P40</f>
        <v>146</v>
      </c>
      <c r="J40" s="752">
        <v>119</v>
      </c>
      <c r="K40" s="752">
        <v>5</v>
      </c>
      <c r="L40" s="752">
        <v>19</v>
      </c>
      <c r="M40" s="752"/>
      <c r="N40" s="752">
        <v>1</v>
      </c>
      <c r="O40" s="752"/>
      <c r="P40" s="778">
        <v>2</v>
      </c>
      <c r="Q40" s="754">
        <v>74</v>
      </c>
      <c r="R40" s="776">
        <f t="shared" si="2"/>
        <v>96</v>
      </c>
      <c r="S40" s="749">
        <f t="shared" si="3"/>
        <v>84.93150684931507</v>
      </c>
      <c r="T40" s="736"/>
    </row>
    <row r="41" spans="1:20" ht="23.25" customHeight="1">
      <c r="A41" s="893">
        <v>3</v>
      </c>
      <c r="B41" s="755" t="s">
        <v>709</v>
      </c>
      <c r="C41" s="775">
        <f aca="true" t="shared" si="11" ref="C41:C46">D41+E41</f>
        <v>283</v>
      </c>
      <c r="D41" s="775">
        <f aca="true" t="shared" si="12" ref="D41:Q41">SUM(D42:D43)</f>
        <v>144</v>
      </c>
      <c r="E41" s="775">
        <f t="shared" si="12"/>
        <v>139</v>
      </c>
      <c r="F41" s="775">
        <f t="shared" si="12"/>
        <v>4</v>
      </c>
      <c r="G41" s="775">
        <f t="shared" si="12"/>
        <v>0</v>
      </c>
      <c r="H41" s="775">
        <f aca="true" t="shared" si="13" ref="H41:H46">I41+Q41</f>
        <v>279</v>
      </c>
      <c r="I41" s="775">
        <f>SUM(J41:P41)</f>
        <v>195</v>
      </c>
      <c r="J41" s="775">
        <f t="shared" si="12"/>
        <v>117</v>
      </c>
      <c r="K41" s="775">
        <f t="shared" si="12"/>
        <v>11</v>
      </c>
      <c r="L41" s="775">
        <f t="shared" si="12"/>
        <v>66</v>
      </c>
      <c r="M41" s="775">
        <f t="shared" si="12"/>
        <v>0</v>
      </c>
      <c r="N41" s="775">
        <f t="shared" si="12"/>
        <v>0</v>
      </c>
      <c r="O41" s="775">
        <f t="shared" si="12"/>
        <v>0</v>
      </c>
      <c r="P41" s="775">
        <f t="shared" si="12"/>
        <v>1</v>
      </c>
      <c r="Q41" s="775">
        <f t="shared" si="12"/>
        <v>84</v>
      </c>
      <c r="R41" s="776">
        <f t="shared" si="2"/>
        <v>151</v>
      </c>
      <c r="S41" s="749">
        <f t="shared" si="3"/>
        <v>65.64102564102564</v>
      </c>
      <c r="T41" s="736"/>
    </row>
    <row r="42" spans="1:21" s="635" customFormat="1" ht="23.25" customHeight="1">
      <c r="A42" s="893">
        <v>3.1</v>
      </c>
      <c r="B42" s="750" t="s">
        <v>710</v>
      </c>
      <c r="C42" s="752">
        <f>D42+E42</f>
        <v>124</v>
      </c>
      <c r="D42" s="752">
        <v>44</v>
      </c>
      <c r="E42" s="752">
        <v>80</v>
      </c>
      <c r="F42" s="752">
        <v>2</v>
      </c>
      <c r="G42" s="752">
        <v>0</v>
      </c>
      <c r="H42" s="752">
        <f>I42+Q42</f>
        <v>122</v>
      </c>
      <c r="I42" s="752">
        <f>J42+K42+L42+P42</f>
        <v>99</v>
      </c>
      <c r="J42" s="752">
        <v>67</v>
      </c>
      <c r="K42" s="752">
        <v>5</v>
      </c>
      <c r="L42" s="752">
        <v>26</v>
      </c>
      <c r="M42" s="752">
        <v>0</v>
      </c>
      <c r="N42" s="752">
        <v>0</v>
      </c>
      <c r="O42" s="752">
        <v>0</v>
      </c>
      <c r="P42" s="778">
        <v>1</v>
      </c>
      <c r="Q42" s="754">
        <v>23</v>
      </c>
      <c r="R42" s="776">
        <f t="shared" si="2"/>
        <v>50</v>
      </c>
      <c r="S42" s="749">
        <f t="shared" si="3"/>
        <v>72.72727272727273</v>
      </c>
      <c r="T42" s="736"/>
      <c r="U42" s="711"/>
    </row>
    <row r="43" spans="1:20" ht="23.25" customHeight="1">
      <c r="A43" s="893">
        <v>3.2</v>
      </c>
      <c r="B43" s="750" t="s">
        <v>711</v>
      </c>
      <c r="C43" s="752">
        <f>D43+E43</f>
        <v>159</v>
      </c>
      <c r="D43" s="752">
        <v>100</v>
      </c>
      <c r="E43" s="752">
        <v>59</v>
      </c>
      <c r="F43" s="752">
        <v>2</v>
      </c>
      <c r="G43" s="752">
        <v>0</v>
      </c>
      <c r="H43" s="752">
        <f>I43+Q43</f>
        <v>157</v>
      </c>
      <c r="I43" s="752">
        <f>J43+K43+L43+P43</f>
        <v>96</v>
      </c>
      <c r="J43" s="752">
        <v>50</v>
      </c>
      <c r="K43" s="752">
        <v>6</v>
      </c>
      <c r="L43" s="752">
        <v>40</v>
      </c>
      <c r="M43" s="752">
        <v>0</v>
      </c>
      <c r="N43" s="752">
        <v>0</v>
      </c>
      <c r="O43" s="752">
        <v>0</v>
      </c>
      <c r="P43" s="778">
        <v>0</v>
      </c>
      <c r="Q43" s="754">
        <v>61</v>
      </c>
      <c r="R43" s="776">
        <f t="shared" si="2"/>
        <v>101</v>
      </c>
      <c r="S43" s="749">
        <f t="shared" si="3"/>
        <v>58.333333333333336</v>
      </c>
      <c r="T43" s="736"/>
    </row>
    <row r="44" spans="1:21" s="885" customFormat="1" ht="23.25" customHeight="1">
      <c r="A44" s="891">
        <v>4</v>
      </c>
      <c r="B44" s="888" t="s">
        <v>713</v>
      </c>
      <c r="C44" s="880">
        <f t="shared" si="11"/>
        <v>2</v>
      </c>
      <c r="D44" s="880">
        <f aca="true" t="shared" si="14" ref="D44:Q44">D45</f>
        <v>0</v>
      </c>
      <c r="E44" s="880">
        <f t="shared" si="14"/>
        <v>2</v>
      </c>
      <c r="F44" s="880">
        <f t="shared" si="14"/>
        <v>0</v>
      </c>
      <c r="G44" s="880">
        <f t="shared" si="14"/>
        <v>0</v>
      </c>
      <c r="H44" s="880">
        <f t="shared" si="13"/>
        <v>2</v>
      </c>
      <c r="I44" s="880">
        <f>SUM(J44:P44)</f>
        <v>2</v>
      </c>
      <c r="J44" s="880">
        <f t="shared" si="14"/>
        <v>2</v>
      </c>
      <c r="K44" s="880">
        <f t="shared" si="14"/>
        <v>0</v>
      </c>
      <c r="L44" s="880">
        <f t="shared" si="14"/>
        <v>0</v>
      </c>
      <c r="M44" s="880">
        <f t="shared" si="14"/>
        <v>0</v>
      </c>
      <c r="N44" s="880">
        <f t="shared" si="14"/>
        <v>0</v>
      </c>
      <c r="O44" s="880">
        <f t="shared" si="14"/>
        <v>0</v>
      </c>
      <c r="P44" s="880">
        <f t="shared" si="14"/>
        <v>0</v>
      </c>
      <c r="Q44" s="880">
        <f t="shared" si="14"/>
        <v>0</v>
      </c>
      <c r="R44" s="881">
        <f t="shared" si="2"/>
        <v>0</v>
      </c>
      <c r="S44" s="882">
        <f t="shared" si="3"/>
        <v>100</v>
      </c>
      <c r="T44" s="887"/>
      <c r="U44" s="884"/>
    </row>
    <row r="45" spans="1:20" ht="23.25" customHeight="1">
      <c r="A45" s="893" t="s">
        <v>167</v>
      </c>
      <c r="B45" s="755" t="s">
        <v>714</v>
      </c>
      <c r="C45" s="775">
        <f t="shared" si="11"/>
        <v>2</v>
      </c>
      <c r="D45" s="775"/>
      <c r="E45" s="775">
        <v>2</v>
      </c>
      <c r="F45" s="775"/>
      <c r="G45" s="775"/>
      <c r="H45" s="775">
        <f t="shared" si="13"/>
        <v>2</v>
      </c>
      <c r="I45" s="775">
        <f>SUM(J45:P45)</f>
        <v>2</v>
      </c>
      <c r="J45" s="775">
        <v>2</v>
      </c>
      <c r="K45" s="775"/>
      <c r="L45" s="779"/>
      <c r="M45" s="779"/>
      <c r="N45" s="779"/>
      <c r="O45" s="780"/>
      <c r="P45" s="780"/>
      <c r="Q45" s="780"/>
      <c r="R45" s="776">
        <f t="shared" si="2"/>
        <v>0</v>
      </c>
      <c r="S45" s="749">
        <f t="shared" si="3"/>
        <v>100</v>
      </c>
      <c r="T45" s="736"/>
    </row>
    <row r="46" spans="1:21" s="885" customFormat="1" ht="23.25" customHeight="1">
      <c r="A46" s="891">
        <v>5</v>
      </c>
      <c r="B46" s="888" t="s">
        <v>715</v>
      </c>
      <c r="C46" s="880">
        <f t="shared" si="11"/>
        <v>2995</v>
      </c>
      <c r="D46" s="880">
        <f aca="true" t="shared" si="15" ref="D46:Q46">SUM(D47:D53)</f>
        <v>1759</v>
      </c>
      <c r="E46" s="880">
        <f t="shared" si="15"/>
        <v>1236</v>
      </c>
      <c r="F46" s="880">
        <f t="shared" si="15"/>
        <v>36</v>
      </c>
      <c r="G46" s="880">
        <f t="shared" si="15"/>
        <v>0</v>
      </c>
      <c r="H46" s="880">
        <f t="shared" si="13"/>
        <v>2959</v>
      </c>
      <c r="I46" s="880">
        <f>SUM(J46:P46)</f>
        <v>1480</v>
      </c>
      <c r="J46" s="880">
        <f t="shared" si="15"/>
        <v>897</v>
      </c>
      <c r="K46" s="880">
        <f t="shared" si="15"/>
        <v>15</v>
      </c>
      <c r="L46" s="880">
        <f t="shared" si="15"/>
        <v>567</v>
      </c>
      <c r="M46" s="880">
        <f t="shared" si="15"/>
        <v>0</v>
      </c>
      <c r="N46" s="880">
        <f t="shared" si="15"/>
        <v>0</v>
      </c>
      <c r="O46" s="880">
        <f t="shared" si="15"/>
        <v>0</v>
      </c>
      <c r="P46" s="880">
        <f t="shared" si="15"/>
        <v>1</v>
      </c>
      <c r="Q46" s="880">
        <f t="shared" si="15"/>
        <v>1479</v>
      </c>
      <c r="R46" s="881">
        <f t="shared" si="2"/>
        <v>2047</v>
      </c>
      <c r="S46" s="882">
        <f t="shared" si="3"/>
        <v>61.62162162162163</v>
      </c>
      <c r="T46" s="887"/>
      <c r="U46" s="884"/>
    </row>
    <row r="47" spans="1:20" ht="23.25" customHeight="1">
      <c r="A47" s="894" t="s">
        <v>177</v>
      </c>
      <c r="B47" s="758" t="s">
        <v>716</v>
      </c>
      <c r="C47" s="781">
        <v>250</v>
      </c>
      <c r="D47" s="781">
        <v>94</v>
      </c>
      <c r="E47" s="781">
        <v>156</v>
      </c>
      <c r="F47" s="781">
        <v>0</v>
      </c>
      <c r="G47" s="781">
        <v>0</v>
      </c>
      <c r="H47" s="781">
        <v>250</v>
      </c>
      <c r="I47" s="781">
        <v>167</v>
      </c>
      <c r="J47" s="781">
        <v>147</v>
      </c>
      <c r="K47" s="781">
        <v>0</v>
      </c>
      <c r="L47" s="782">
        <v>20</v>
      </c>
      <c r="M47" s="781">
        <v>0</v>
      </c>
      <c r="N47" s="781">
        <v>0</v>
      </c>
      <c r="O47" s="781">
        <v>0</v>
      </c>
      <c r="P47" s="781">
        <v>0</v>
      </c>
      <c r="Q47" s="783">
        <v>83</v>
      </c>
      <c r="R47" s="776">
        <f t="shared" si="2"/>
        <v>103</v>
      </c>
      <c r="S47" s="749">
        <f t="shared" si="3"/>
        <v>88.02395209580838</v>
      </c>
      <c r="T47" s="736"/>
    </row>
    <row r="48" spans="1:21" s="635" customFormat="1" ht="23.25" customHeight="1">
      <c r="A48" s="894" t="s">
        <v>178</v>
      </c>
      <c r="B48" s="758" t="s">
        <v>717</v>
      </c>
      <c r="C48" s="781">
        <v>457</v>
      </c>
      <c r="D48" s="781">
        <v>110</v>
      </c>
      <c r="E48" s="781">
        <v>347</v>
      </c>
      <c r="F48" s="781">
        <v>1</v>
      </c>
      <c r="G48" s="781">
        <v>0</v>
      </c>
      <c r="H48" s="781">
        <v>456</v>
      </c>
      <c r="I48" s="781">
        <v>301</v>
      </c>
      <c r="J48" s="781">
        <v>176</v>
      </c>
      <c r="K48" s="781">
        <v>0</v>
      </c>
      <c r="L48" s="782">
        <v>124</v>
      </c>
      <c r="M48" s="781">
        <v>0</v>
      </c>
      <c r="N48" s="781">
        <v>0</v>
      </c>
      <c r="O48" s="781">
        <v>0</v>
      </c>
      <c r="P48" s="781">
        <v>1</v>
      </c>
      <c r="Q48" s="783">
        <v>155</v>
      </c>
      <c r="R48" s="776">
        <f t="shared" si="2"/>
        <v>280</v>
      </c>
      <c r="S48" s="749">
        <f t="shared" si="3"/>
        <v>58.4717607973422</v>
      </c>
      <c r="T48" s="736"/>
      <c r="U48" s="711"/>
    </row>
    <row r="49" spans="1:21" s="635" customFormat="1" ht="23.25" customHeight="1">
      <c r="A49" s="894" t="s">
        <v>179</v>
      </c>
      <c r="B49" s="758" t="s">
        <v>825</v>
      </c>
      <c r="C49" s="781">
        <v>412</v>
      </c>
      <c r="D49" s="781">
        <v>273</v>
      </c>
      <c r="E49" s="781">
        <v>139</v>
      </c>
      <c r="F49" s="781">
        <v>8</v>
      </c>
      <c r="G49" s="781">
        <v>0</v>
      </c>
      <c r="H49" s="781">
        <v>404</v>
      </c>
      <c r="I49" s="781">
        <v>207</v>
      </c>
      <c r="J49" s="781">
        <v>117</v>
      </c>
      <c r="K49" s="781">
        <v>1</v>
      </c>
      <c r="L49" s="782">
        <v>89</v>
      </c>
      <c r="M49" s="781">
        <v>0</v>
      </c>
      <c r="N49" s="781">
        <v>0</v>
      </c>
      <c r="O49" s="781">
        <v>0</v>
      </c>
      <c r="P49" s="781">
        <v>0</v>
      </c>
      <c r="Q49" s="783">
        <v>197</v>
      </c>
      <c r="R49" s="776">
        <f t="shared" si="2"/>
        <v>286</v>
      </c>
      <c r="S49" s="749">
        <f t="shared" si="3"/>
        <v>57.00483091787439</v>
      </c>
      <c r="T49" s="736"/>
      <c r="U49" s="711"/>
    </row>
    <row r="50" spans="1:20" ht="23.25" customHeight="1">
      <c r="A50" s="894" t="s">
        <v>719</v>
      </c>
      <c r="B50" s="758" t="s">
        <v>720</v>
      </c>
      <c r="C50" s="781">
        <v>311</v>
      </c>
      <c r="D50" s="781">
        <v>179</v>
      </c>
      <c r="E50" s="781">
        <v>132</v>
      </c>
      <c r="F50" s="781">
        <v>11</v>
      </c>
      <c r="G50" s="781">
        <v>0</v>
      </c>
      <c r="H50" s="781">
        <v>300</v>
      </c>
      <c r="I50" s="781">
        <v>168</v>
      </c>
      <c r="J50" s="781">
        <v>109</v>
      </c>
      <c r="K50" s="781">
        <v>1</v>
      </c>
      <c r="L50" s="782">
        <v>58</v>
      </c>
      <c r="M50" s="781">
        <v>0</v>
      </c>
      <c r="N50" s="781">
        <v>0</v>
      </c>
      <c r="O50" s="781">
        <v>0</v>
      </c>
      <c r="P50" s="781">
        <v>0</v>
      </c>
      <c r="Q50" s="783">
        <v>132</v>
      </c>
      <c r="R50" s="776">
        <f t="shared" si="2"/>
        <v>190</v>
      </c>
      <c r="S50" s="749">
        <f t="shared" si="3"/>
        <v>65.47619047619048</v>
      </c>
      <c r="T50" s="736"/>
    </row>
    <row r="51" spans="1:21" s="635" customFormat="1" ht="23.25" customHeight="1">
      <c r="A51" s="894" t="s">
        <v>721</v>
      </c>
      <c r="B51" s="758" t="s">
        <v>722</v>
      </c>
      <c r="C51" s="781">
        <v>504</v>
      </c>
      <c r="D51" s="781">
        <v>355</v>
      </c>
      <c r="E51" s="781">
        <v>149</v>
      </c>
      <c r="F51" s="781">
        <v>0</v>
      </c>
      <c r="G51" s="781">
        <v>0</v>
      </c>
      <c r="H51" s="781">
        <v>504</v>
      </c>
      <c r="I51" s="781">
        <v>191</v>
      </c>
      <c r="J51" s="781">
        <v>104</v>
      </c>
      <c r="K51" s="781">
        <v>0</v>
      </c>
      <c r="L51" s="782">
        <v>87</v>
      </c>
      <c r="M51" s="781">
        <v>0</v>
      </c>
      <c r="N51" s="781">
        <v>0</v>
      </c>
      <c r="O51" s="781">
        <v>0</v>
      </c>
      <c r="P51" s="781">
        <v>0</v>
      </c>
      <c r="Q51" s="783">
        <v>313</v>
      </c>
      <c r="R51" s="776">
        <f t="shared" si="2"/>
        <v>400</v>
      </c>
      <c r="S51" s="749">
        <f t="shared" si="3"/>
        <v>54.45026178010471</v>
      </c>
      <c r="T51" s="736"/>
      <c r="U51" s="711"/>
    </row>
    <row r="52" spans="1:20" ht="23.25" customHeight="1">
      <c r="A52" s="894" t="s">
        <v>723</v>
      </c>
      <c r="B52" s="758" t="s">
        <v>724</v>
      </c>
      <c r="C52" s="781">
        <v>592</v>
      </c>
      <c r="D52" s="781">
        <v>395</v>
      </c>
      <c r="E52" s="781">
        <v>197</v>
      </c>
      <c r="F52" s="781">
        <v>10</v>
      </c>
      <c r="G52" s="781">
        <v>0</v>
      </c>
      <c r="H52" s="781">
        <v>582</v>
      </c>
      <c r="I52" s="781">
        <v>257</v>
      </c>
      <c r="J52" s="781">
        <v>152</v>
      </c>
      <c r="K52" s="781">
        <v>7</v>
      </c>
      <c r="L52" s="782">
        <v>98</v>
      </c>
      <c r="M52" s="781">
        <v>0</v>
      </c>
      <c r="N52" s="781">
        <v>0</v>
      </c>
      <c r="O52" s="781">
        <v>0</v>
      </c>
      <c r="P52" s="781">
        <v>0</v>
      </c>
      <c r="Q52" s="783">
        <v>325</v>
      </c>
      <c r="R52" s="776">
        <f t="shared" si="2"/>
        <v>423</v>
      </c>
      <c r="S52" s="749">
        <f t="shared" si="3"/>
        <v>61.86770428015564</v>
      </c>
      <c r="T52" s="736"/>
    </row>
    <row r="53" spans="1:20" ht="23.25" customHeight="1">
      <c r="A53" s="894" t="s">
        <v>725</v>
      </c>
      <c r="B53" s="758" t="s">
        <v>726</v>
      </c>
      <c r="C53" s="781">
        <v>469</v>
      </c>
      <c r="D53" s="781">
        <v>353</v>
      </c>
      <c r="E53" s="781">
        <v>116</v>
      </c>
      <c r="F53" s="781">
        <v>6</v>
      </c>
      <c r="G53" s="781">
        <v>0</v>
      </c>
      <c r="H53" s="781">
        <v>463</v>
      </c>
      <c r="I53" s="781">
        <v>189</v>
      </c>
      <c r="J53" s="781">
        <v>92</v>
      </c>
      <c r="K53" s="781">
        <v>6</v>
      </c>
      <c r="L53" s="782">
        <v>91</v>
      </c>
      <c r="M53" s="781">
        <v>0</v>
      </c>
      <c r="N53" s="781">
        <v>0</v>
      </c>
      <c r="O53" s="781">
        <v>0</v>
      </c>
      <c r="P53" s="781">
        <v>0</v>
      </c>
      <c r="Q53" s="783">
        <v>274</v>
      </c>
      <c r="R53" s="776">
        <f t="shared" si="2"/>
        <v>365</v>
      </c>
      <c r="S53" s="749">
        <f t="shared" si="3"/>
        <v>51.85185185185185</v>
      </c>
      <c r="T53" s="736"/>
    </row>
    <row r="54" spans="1:21" s="885" customFormat="1" ht="23.25" customHeight="1">
      <c r="A54" s="891">
        <v>6</v>
      </c>
      <c r="B54" s="888" t="s">
        <v>727</v>
      </c>
      <c r="C54" s="880">
        <f>SUM(C55:C59)</f>
        <v>900</v>
      </c>
      <c r="D54" s="880">
        <f aca="true" t="shared" si="16" ref="D54:R54">SUM(D55:D59)</f>
        <v>365</v>
      </c>
      <c r="E54" s="880">
        <f t="shared" si="16"/>
        <v>535</v>
      </c>
      <c r="F54" s="880">
        <f t="shared" si="16"/>
        <v>14</v>
      </c>
      <c r="G54" s="880">
        <f t="shared" si="16"/>
        <v>2</v>
      </c>
      <c r="H54" s="880">
        <f t="shared" si="16"/>
        <v>886</v>
      </c>
      <c r="I54" s="880">
        <f t="shared" si="16"/>
        <v>616</v>
      </c>
      <c r="J54" s="880">
        <f t="shared" si="16"/>
        <v>480</v>
      </c>
      <c r="K54" s="880">
        <f t="shared" si="16"/>
        <v>10</v>
      </c>
      <c r="L54" s="880">
        <f t="shared" si="16"/>
        <v>124</v>
      </c>
      <c r="M54" s="880">
        <f t="shared" si="16"/>
        <v>2</v>
      </c>
      <c r="N54" s="880">
        <f t="shared" si="16"/>
        <v>0</v>
      </c>
      <c r="O54" s="880">
        <f t="shared" si="16"/>
        <v>0</v>
      </c>
      <c r="P54" s="880">
        <f t="shared" si="16"/>
        <v>0</v>
      </c>
      <c r="Q54" s="880">
        <f t="shared" si="16"/>
        <v>270</v>
      </c>
      <c r="R54" s="880">
        <f t="shared" si="16"/>
        <v>396</v>
      </c>
      <c r="S54" s="882">
        <f t="shared" si="3"/>
        <v>79.54545454545455</v>
      </c>
      <c r="T54" s="887"/>
      <c r="U54" s="884"/>
    </row>
    <row r="55" spans="1:20" ht="23.25" customHeight="1">
      <c r="A55" s="893" t="s">
        <v>852</v>
      </c>
      <c r="B55" s="759" t="s">
        <v>860</v>
      </c>
      <c r="C55" s="752">
        <f>D55+E55</f>
        <v>121</v>
      </c>
      <c r="D55" s="752">
        <v>35</v>
      </c>
      <c r="E55" s="752">
        <v>86</v>
      </c>
      <c r="F55" s="752">
        <v>4</v>
      </c>
      <c r="G55" s="752"/>
      <c r="H55" s="752">
        <f>I55+Q55</f>
        <v>117</v>
      </c>
      <c r="I55" s="752">
        <f>J55+K55+L55+M55+N55+O55+P55</f>
        <v>93</v>
      </c>
      <c r="J55" s="752">
        <v>69</v>
      </c>
      <c r="K55" s="752">
        <v>5</v>
      </c>
      <c r="L55" s="778">
        <v>19</v>
      </c>
      <c r="M55" s="778"/>
      <c r="N55" s="773"/>
      <c r="O55" s="773"/>
      <c r="P55" s="773"/>
      <c r="Q55" s="773">
        <v>24</v>
      </c>
      <c r="R55" s="776">
        <f t="shared" si="2"/>
        <v>43</v>
      </c>
      <c r="S55" s="749">
        <f t="shared" si="3"/>
        <v>79.56989247311827</v>
      </c>
      <c r="T55" s="736"/>
    </row>
    <row r="56" spans="1:20" ht="23.25" customHeight="1">
      <c r="A56" s="893" t="s">
        <v>853</v>
      </c>
      <c r="B56" s="759" t="s">
        <v>861</v>
      </c>
      <c r="C56" s="752">
        <f>D56+E56</f>
        <v>163</v>
      </c>
      <c r="D56" s="752">
        <v>81</v>
      </c>
      <c r="E56" s="752">
        <v>82</v>
      </c>
      <c r="F56" s="752"/>
      <c r="G56" s="752"/>
      <c r="H56" s="752">
        <f>I56+Q56</f>
        <v>163</v>
      </c>
      <c r="I56" s="752">
        <f>J56+K56+L56+M56+N56+O56+P56</f>
        <v>102</v>
      </c>
      <c r="J56" s="752">
        <v>85</v>
      </c>
      <c r="K56" s="752">
        <v>1</v>
      </c>
      <c r="L56" s="778">
        <v>16</v>
      </c>
      <c r="M56" s="778"/>
      <c r="N56" s="773"/>
      <c r="O56" s="773"/>
      <c r="P56" s="773"/>
      <c r="Q56" s="773">
        <v>61</v>
      </c>
      <c r="R56" s="776">
        <f t="shared" si="2"/>
        <v>77</v>
      </c>
      <c r="S56" s="749">
        <f t="shared" si="3"/>
        <v>84.31372549019608</v>
      </c>
      <c r="T56" s="736"/>
    </row>
    <row r="57" spans="1:21" s="635" customFormat="1" ht="23.25" customHeight="1">
      <c r="A57" s="893" t="s">
        <v>854</v>
      </c>
      <c r="B57" s="759" t="s">
        <v>730</v>
      </c>
      <c r="C57" s="752">
        <f>D57+E57</f>
        <v>291</v>
      </c>
      <c r="D57" s="752">
        <v>108</v>
      </c>
      <c r="E57" s="752">
        <v>183</v>
      </c>
      <c r="F57" s="752">
        <v>5</v>
      </c>
      <c r="G57" s="752">
        <v>2</v>
      </c>
      <c r="H57" s="752">
        <f>I57+Q57</f>
        <v>286</v>
      </c>
      <c r="I57" s="752">
        <f>J57+K57+L57+M57+N57+O57+P57</f>
        <v>211</v>
      </c>
      <c r="J57" s="752">
        <v>164</v>
      </c>
      <c r="K57" s="752">
        <v>1</v>
      </c>
      <c r="L57" s="778">
        <v>45</v>
      </c>
      <c r="M57" s="778">
        <v>1</v>
      </c>
      <c r="N57" s="773"/>
      <c r="O57" s="773"/>
      <c r="P57" s="773"/>
      <c r="Q57" s="773">
        <v>75</v>
      </c>
      <c r="R57" s="776">
        <f t="shared" si="2"/>
        <v>121</v>
      </c>
      <c r="S57" s="749">
        <f t="shared" si="3"/>
        <v>78.19905213270142</v>
      </c>
      <c r="T57" s="736"/>
      <c r="U57" s="711"/>
    </row>
    <row r="58" spans="1:20" ht="23.25" customHeight="1">
      <c r="A58" s="893" t="s">
        <v>855</v>
      </c>
      <c r="B58" s="759" t="s">
        <v>862</v>
      </c>
      <c r="C58" s="752">
        <f>D58+E58</f>
        <v>282</v>
      </c>
      <c r="D58" s="752">
        <v>112</v>
      </c>
      <c r="E58" s="752">
        <v>170</v>
      </c>
      <c r="F58" s="752">
        <v>5</v>
      </c>
      <c r="G58" s="752"/>
      <c r="H58" s="752">
        <f>I58+Q58</f>
        <v>277</v>
      </c>
      <c r="I58" s="752">
        <f>J58+K58+L58+M58+N58+O58+P58</f>
        <v>191</v>
      </c>
      <c r="J58" s="752">
        <v>150</v>
      </c>
      <c r="K58" s="752">
        <v>3</v>
      </c>
      <c r="L58" s="778">
        <v>37</v>
      </c>
      <c r="M58" s="778">
        <v>1</v>
      </c>
      <c r="N58" s="773"/>
      <c r="O58" s="773"/>
      <c r="P58" s="773"/>
      <c r="Q58" s="773">
        <v>86</v>
      </c>
      <c r="R58" s="776">
        <f t="shared" si="2"/>
        <v>124</v>
      </c>
      <c r="S58" s="749">
        <f t="shared" si="3"/>
        <v>80.10471204188482</v>
      </c>
      <c r="T58" s="736"/>
    </row>
    <row r="59" spans="1:20" ht="23.25" customHeight="1">
      <c r="A59" s="893" t="s">
        <v>856</v>
      </c>
      <c r="B59" s="759" t="s">
        <v>826</v>
      </c>
      <c r="C59" s="772">
        <v>43</v>
      </c>
      <c r="D59" s="784">
        <v>29</v>
      </c>
      <c r="E59" s="785">
        <v>14</v>
      </c>
      <c r="F59" s="785"/>
      <c r="G59" s="785"/>
      <c r="H59" s="785">
        <f>I59+Q59</f>
        <v>43</v>
      </c>
      <c r="I59" s="785">
        <f>SUM(J59:P59)</f>
        <v>19</v>
      </c>
      <c r="J59" s="785">
        <v>12</v>
      </c>
      <c r="K59" s="785"/>
      <c r="L59" s="785">
        <v>7</v>
      </c>
      <c r="M59" s="785"/>
      <c r="N59" s="785"/>
      <c r="O59" s="785"/>
      <c r="P59" s="785"/>
      <c r="Q59" s="785">
        <v>24</v>
      </c>
      <c r="R59" s="776">
        <f t="shared" si="2"/>
        <v>31</v>
      </c>
      <c r="S59" s="749">
        <f t="shared" si="3"/>
        <v>63.1578947368421</v>
      </c>
      <c r="T59" s="736"/>
    </row>
    <row r="60" spans="1:21" s="885" customFormat="1" ht="23.25" customHeight="1">
      <c r="A60" s="891">
        <v>7</v>
      </c>
      <c r="B60" s="886" t="s">
        <v>732</v>
      </c>
      <c r="C60" s="880">
        <f>SUM(C61:C66)</f>
        <v>1192</v>
      </c>
      <c r="D60" s="880">
        <f aca="true" t="shared" si="17" ref="D60:Q60">SUM(D61:D66)</f>
        <v>673</v>
      </c>
      <c r="E60" s="880">
        <f t="shared" si="17"/>
        <v>519</v>
      </c>
      <c r="F60" s="880">
        <f t="shared" si="17"/>
        <v>27</v>
      </c>
      <c r="G60" s="880">
        <f t="shared" si="17"/>
        <v>2</v>
      </c>
      <c r="H60" s="880">
        <f t="shared" si="17"/>
        <v>1165</v>
      </c>
      <c r="I60" s="880">
        <f t="shared" si="17"/>
        <v>740</v>
      </c>
      <c r="J60" s="880">
        <f t="shared" si="17"/>
        <v>480</v>
      </c>
      <c r="K60" s="880">
        <f t="shared" si="17"/>
        <v>43</v>
      </c>
      <c r="L60" s="880">
        <f t="shared" si="17"/>
        <v>217</v>
      </c>
      <c r="M60" s="880">
        <f t="shared" si="17"/>
        <v>0</v>
      </c>
      <c r="N60" s="880">
        <f t="shared" si="17"/>
        <v>0</v>
      </c>
      <c r="O60" s="880">
        <f t="shared" si="17"/>
        <v>0</v>
      </c>
      <c r="P60" s="880">
        <f t="shared" si="17"/>
        <v>0</v>
      </c>
      <c r="Q60" s="880">
        <f t="shared" si="17"/>
        <v>425</v>
      </c>
      <c r="R60" s="881">
        <f t="shared" si="2"/>
        <v>642</v>
      </c>
      <c r="S60" s="882">
        <f t="shared" si="3"/>
        <v>70.67567567567568</v>
      </c>
      <c r="T60" s="887"/>
      <c r="U60" s="884"/>
    </row>
    <row r="61" spans="1:20" ht="23.25" customHeight="1">
      <c r="A61" s="894" t="s">
        <v>846</v>
      </c>
      <c r="B61" s="760" t="s">
        <v>733</v>
      </c>
      <c r="C61" s="752">
        <f aca="true" t="shared" si="18" ref="C61:C66">D61+E61</f>
        <v>43</v>
      </c>
      <c r="D61" s="752">
        <v>9</v>
      </c>
      <c r="E61" s="752">
        <v>34</v>
      </c>
      <c r="F61" s="752">
        <v>1</v>
      </c>
      <c r="G61" s="752"/>
      <c r="H61" s="752">
        <f aca="true" t="shared" si="19" ref="H61:H66">I61+Q61</f>
        <v>42</v>
      </c>
      <c r="I61" s="752">
        <f aca="true" t="shared" si="20" ref="I61:I66">SUM(J61:P61)</f>
        <v>42</v>
      </c>
      <c r="J61" s="752">
        <v>30</v>
      </c>
      <c r="K61" s="752">
        <v>1</v>
      </c>
      <c r="L61" s="752">
        <v>11</v>
      </c>
      <c r="M61" s="752"/>
      <c r="N61" s="752"/>
      <c r="O61" s="752"/>
      <c r="P61" s="778"/>
      <c r="Q61" s="754">
        <v>0</v>
      </c>
      <c r="R61" s="776">
        <f t="shared" si="2"/>
        <v>11</v>
      </c>
      <c r="S61" s="749">
        <f t="shared" si="3"/>
        <v>73.80952380952381</v>
      </c>
      <c r="T61" s="736"/>
    </row>
    <row r="62" spans="1:20" ht="23.25" customHeight="1">
      <c r="A62" s="894" t="s">
        <v>847</v>
      </c>
      <c r="B62" s="760" t="s">
        <v>734</v>
      </c>
      <c r="C62" s="752">
        <f t="shared" si="18"/>
        <v>196</v>
      </c>
      <c r="D62" s="786">
        <v>115</v>
      </c>
      <c r="E62" s="786">
        <v>81</v>
      </c>
      <c r="F62" s="786">
        <v>1</v>
      </c>
      <c r="G62" s="786">
        <v>0</v>
      </c>
      <c r="H62" s="752">
        <f t="shared" si="19"/>
        <v>195</v>
      </c>
      <c r="I62" s="752">
        <f t="shared" si="20"/>
        <v>115</v>
      </c>
      <c r="J62" s="786">
        <v>74</v>
      </c>
      <c r="K62" s="786">
        <v>8</v>
      </c>
      <c r="L62" s="786">
        <v>33</v>
      </c>
      <c r="M62" s="786">
        <v>0</v>
      </c>
      <c r="N62" s="786">
        <v>0</v>
      </c>
      <c r="O62" s="786">
        <v>0</v>
      </c>
      <c r="P62" s="787">
        <v>0</v>
      </c>
      <c r="Q62" s="788">
        <v>80</v>
      </c>
      <c r="R62" s="776">
        <f t="shared" si="2"/>
        <v>113</v>
      </c>
      <c r="S62" s="749">
        <f t="shared" si="3"/>
        <v>71.30434782608695</v>
      </c>
      <c r="T62" s="736"/>
    </row>
    <row r="63" spans="1:21" s="635" customFormat="1" ht="23.25" customHeight="1">
      <c r="A63" s="894" t="s">
        <v>848</v>
      </c>
      <c r="B63" s="760" t="s">
        <v>827</v>
      </c>
      <c r="C63" s="752">
        <f t="shared" si="18"/>
        <v>245</v>
      </c>
      <c r="D63" s="752">
        <v>142</v>
      </c>
      <c r="E63" s="752">
        <v>103</v>
      </c>
      <c r="F63" s="752">
        <v>15</v>
      </c>
      <c r="G63" s="752"/>
      <c r="H63" s="752">
        <f t="shared" si="19"/>
        <v>230</v>
      </c>
      <c r="I63" s="752">
        <f t="shared" si="20"/>
        <v>140</v>
      </c>
      <c r="J63" s="752">
        <v>87</v>
      </c>
      <c r="K63" s="752">
        <v>13</v>
      </c>
      <c r="L63" s="752">
        <v>40</v>
      </c>
      <c r="M63" s="752"/>
      <c r="N63" s="752"/>
      <c r="O63" s="752"/>
      <c r="P63" s="778">
        <v>0</v>
      </c>
      <c r="Q63" s="754">
        <v>90</v>
      </c>
      <c r="R63" s="776">
        <f t="shared" si="2"/>
        <v>130</v>
      </c>
      <c r="S63" s="749">
        <f t="shared" si="3"/>
        <v>71.42857142857143</v>
      </c>
      <c r="T63" s="761"/>
      <c r="U63" s="711"/>
    </row>
    <row r="64" spans="1:20" ht="23.25" customHeight="1">
      <c r="A64" s="894" t="s">
        <v>849</v>
      </c>
      <c r="B64" s="760" t="s">
        <v>736</v>
      </c>
      <c r="C64" s="752">
        <f t="shared" si="18"/>
        <v>225</v>
      </c>
      <c r="D64" s="752">
        <v>133</v>
      </c>
      <c r="E64" s="752">
        <v>92</v>
      </c>
      <c r="F64" s="752">
        <v>3</v>
      </c>
      <c r="G64" s="752">
        <v>0</v>
      </c>
      <c r="H64" s="752">
        <f t="shared" si="19"/>
        <v>222</v>
      </c>
      <c r="I64" s="752">
        <f t="shared" si="20"/>
        <v>142</v>
      </c>
      <c r="J64" s="752">
        <v>100</v>
      </c>
      <c r="K64" s="752">
        <v>5</v>
      </c>
      <c r="L64" s="752">
        <v>37</v>
      </c>
      <c r="M64" s="752"/>
      <c r="N64" s="752"/>
      <c r="O64" s="752"/>
      <c r="P64" s="778">
        <v>0</v>
      </c>
      <c r="Q64" s="754">
        <v>80</v>
      </c>
      <c r="R64" s="776">
        <f t="shared" si="2"/>
        <v>117</v>
      </c>
      <c r="S64" s="749">
        <f t="shared" si="3"/>
        <v>73.94366197183099</v>
      </c>
      <c r="T64" s="736"/>
    </row>
    <row r="65" spans="1:21" s="635" customFormat="1" ht="23.25" customHeight="1">
      <c r="A65" s="894" t="s">
        <v>850</v>
      </c>
      <c r="B65" s="760" t="s">
        <v>737</v>
      </c>
      <c r="C65" s="752">
        <f t="shared" si="18"/>
        <v>220</v>
      </c>
      <c r="D65" s="752">
        <v>122</v>
      </c>
      <c r="E65" s="752">
        <v>98</v>
      </c>
      <c r="F65" s="752"/>
      <c r="G65" s="752"/>
      <c r="H65" s="752">
        <f t="shared" si="19"/>
        <v>220</v>
      </c>
      <c r="I65" s="752">
        <f t="shared" si="20"/>
        <v>149</v>
      </c>
      <c r="J65" s="752">
        <v>103</v>
      </c>
      <c r="K65" s="752"/>
      <c r="L65" s="752">
        <v>46</v>
      </c>
      <c r="M65" s="752"/>
      <c r="N65" s="752"/>
      <c r="O65" s="752"/>
      <c r="P65" s="778">
        <v>0</v>
      </c>
      <c r="Q65" s="754">
        <v>71</v>
      </c>
      <c r="R65" s="776">
        <f t="shared" si="2"/>
        <v>117</v>
      </c>
      <c r="S65" s="749">
        <f t="shared" si="3"/>
        <v>69.12751677852349</v>
      </c>
      <c r="T65" s="736"/>
      <c r="U65" s="711"/>
    </row>
    <row r="66" spans="1:20" ht="23.25" customHeight="1">
      <c r="A66" s="894" t="s">
        <v>851</v>
      </c>
      <c r="B66" s="760" t="s">
        <v>738</v>
      </c>
      <c r="C66" s="752">
        <f t="shared" si="18"/>
        <v>263</v>
      </c>
      <c r="D66" s="752">
        <v>152</v>
      </c>
      <c r="E66" s="752">
        <v>111</v>
      </c>
      <c r="F66" s="752">
        <v>7</v>
      </c>
      <c r="G66" s="752">
        <v>2</v>
      </c>
      <c r="H66" s="752">
        <f t="shared" si="19"/>
        <v>256</v>
      </c>
      <c r="I66" s="752">
        <f t="shared" si="20"/>
        <v>152</v>
      </c>
      <c r="J66" s="752">
        <v>86</v>
      </c>
      <c r="K66" s="752">
        <v>16</v>
      </c>
      <c r="L66" s="752">
        <v>50</v>
      </c>
      <c r="M66" s="752"/>
      <c r="N66" s="752"/>
      <c r="O66" s="752"/>
      <c r="P66" s="778">
        <v>0</v>
      </c>
      <c r="Q66" s="754">
        <v>104</v>
      </c>
      <c r="R66" s="776">
        <f t="shared" si="2"/>
        <v>154</v>
      </c>
      <c r="S66" s="749">
        <f t="shared" si="3"/>
        <v>67.10526315789474</v>
      </c>
      <c r="T66" s="736"/>
    </row>
    <row r="67" spans="1:21" s="885" customFormat="1" ht="23.25" customHeight="1">
      <c r="A67" s="891">
        <v>8</v>
      </c>
      <c r="B67" s="888" t="s">
        <v>739</v>
      </c>
      <c r="C67" s="880">
        <f>SUM(C68:C70)</f>
        <v>627</v>
      </c>
      <c r="D67" s="880">
        <f aca="true" t="shared" si="21" ref="D67:Q67">SUM(D68:D70)</f>
        <v>227</v>
      </c>
      <c r="E67" s="880">
        <f t="shared" si="21"/>
        <v>400</v>
      </c>
      <c r="F67" s="880">
        <f t="shared" si="21"/>
        <v>4</v>
      </c>
      <c r="G67" s="880">
        <f t="shared" si="21"/>
        <v>1</v>
      </c>
      <c r="H67" s="880">
        <f t="shared" si="21"/>
        <v>623</v>
      </c>
      <c r="I67" s="880">
        <f t="shared" si="21"/>
        <v>445</v>
      </c>
      <c r="J67" s="880">
        <f t="shared" si="21"/>
        <v>331</v>
      </c>
      <c r="K67" s="880">
        <f t="shared" si="21"/>
        <v>6</v>
      </c>
      <c r="L67" s="880">
        <f t="shared" si="21"/>
        <v>106</v>
      </c>
      <c r="M67" s="880">
        <f t="shared" si="21"/>
        <v>0</v>
      </c>
      <c r="N67" s="880">
        <f t="shared" si="21"/>
        <v>2</v>
      </c>
      <c r="O67" s="880">
        <f t="shared" si="21"/>
        <v>0</v>
      </c>
      <c r="P67" s="880">
        <f t="shared" si="21"/>
        <v>0</v>
      </c>
      <c r="Q67" s="880">
        <f t="shared" si="21"/>
        <v>178</v>
      </c>
      <c r="R67" s="881">
        <f t="shared" si="2"/>
        <v>286</v>
      </c>
      <c r="S67" s="882">
        <f t="shared" si="3"/>
        <v>75.73033707865169</v>
      </c>
      <c r="T67" s="887"/>
      <c r="U67" s="884"/>
    </row>
    <row r="68" spans="1:20" ht="23.25" customHeight="1">
      <c r="A68" s="894" t="s">
        <v>740</v>
      </c>
      <c r="B68" s="755" t="s">
        <v>741</v>
      </c>
      <c r="C68" s="789">
        <f>D68+E68</f>
        <v>206</v>
      </c>
      <c r="D68" s="789">
        <v>53</v>
      </c>
      <c r="E68" s="789">
        <v>153</v>
      </c>
      <c r="F68" s="789">
        <v>3</v>
      </c>
      <c r="G68" s="789"/>
      <c r="H68" s="789">
        <f>I68+Q68</f>
        <v>203</v>
      </c>
      <c r="I68" s="789">
        <f>J68+K68+L68+M68+N68+O68+P68</f>
        <v>165</v>
      </c>
      <c r="J68" s="789">
        <v>133</v>
      </c>
      <c r="K68" s="789">
        <v>0</v>
      </c>
      <c r="L68" s="789">
        <v>32</v>
      </c>
      <c r="M68" s="789"/>
      <c r="N68" s="789"/>
      <c r="O68" s="789"/>
      <c r="P68" s="789"/>
      <c r="Q68" s="789">
        <v>38</v>
      </c>
      <c r="R68" s="776">
        <f t="shared" si="2"/>
        <v>70</v>
      </c>
      <c r="S68" s="749">
        <f t="shared" si="3"/>
        <v>80.60606060606061</v>
      </c>
      <c r="T68" s="736"/>
    </row>
    <row r="69" spans="1:20" ht="23.25" customHeight="1">
      <c r="A69" s="894" t="s">
        <v>742</v>
      </c>
      <c r="B69" s="755" t="s">
        <v>743</v>
      </c>
      <c r="C69" s="789">
        <f>D69+E69</f>
        <v>165</v>
      </c>
      <c r="D69" s="789">
        <v>64</v>
      </c>
      <c r="E69" s="789">
        <v>101</v>
      </c>
      <c r="F69" s="789">
        <v>1</v>
      </c>
      <c r="G69" s="789">
        <v>1</v>
      </c>
      <c r="H69" s="789">
        <f>I69+Q69</f>
        <v>164</v>
      </c>
      <c r="I69" s="789">
        <f>J69+K69+L69+M69+N69+O69+P69</f>
        <v>111</v>
      </c>
      <c r="J69" s="789">
        <v>83</v>
      </c>
      <c r="K69" s="789">
        <v>4</v>
      </c>
      <c r="L69" s="789">
        <v>22</v>
      </c>
      <c r="M69" s="789"/>
      <c r="N69" s="789">
        <v>2</v>
      </c>
      <c r="O69" s="789"/>
      <c r="P69" s="789"/>
      <c r="Q69" s="789">
        <v>53</v>
      </c>
      <c r="R69" s="776">
        <f t="shared" si="2"/>
        <v>77</v>
      </c>
      <c r="S69" s="749">
        <f t="shared" si="3"/>
        <v>78.37837837837837</v>
      </c>
      <c r="T69" s="736"/>
    </row>
    <row r="70" spans="1:21" s="635" customFormat="1" ht="23.25" customHeight="1">
      <c r="A70" s="894" t="s">
        <v>828</v>
      </c>
      <c r="B70" s="755" t="s">
        <v>735</v>
      </c>
      <c r="C70" s="789">
        <f>D70+E70</f>
        <v>256</v>
      </c>
      <c r="D70" s="789">
        <v>110</v>
      </c>
      <c r="E70" s="789">
        <v>146</v>
      </c>
      <c r="F70" s="789"/>
      <c r="G70" s="789"/>
      <c r="H70" s="789">
        <f>I70+Q70</f>
        <v>256</v>
      </c>
      <c r="I70" s="789">
        <f>J70+K70+L70+M70+N70+O70+P70</f>
        <v>169</v>
      </c>
      <c r="J70" s="789">
        <v>115</v>
      </c>
      <c r="K70" s="789">
        <v>2</v>
      </c>
      <c r="L70" s="789">
        <v>52</v>
      </c>
      <c r="M70" s="789"/>
      <c r="N70" s="789"/>
      <c r="O70" s="789"/>
      <c r="P70" s="789"/>
      <c r="Q70" s="789">
        <v>87</v>
      </c>
      <c r="R70" s="776">
        <f t="shared" si="2"/>
        <v>139</v>
      </c>
      <c r="S70" s="749">
        <f t="shared" si="3"/>
        <v>69.23076923076923</v>
      </c>
      <c r="T70" s="736"/>
      <c r="U70" s="711"/>
    </row>
    <row r="71" spans="1:21" s="885" customFormat="1" ht="23.25" customHeight="1">
      <c r="A71" s="891">
        <v>9</v>
      </c>
      <c r="B71" s="888" t="s">
        <v>744</v>
      </c>
      <c r="C71" s="880">
        <f>SUM(C72:C74)</f>
        <v>530</v>
      </c>
      <c r="D71" s="880">
        <f aca="true" t="shared" si="22" ref="D71:Q71">SUM(D72:D74)</f>
        <v>199</v>
      </c>
      <c r="E71" s="880">
        <f t="shared" si="22"/>
        <v>331</v>
      </c>
      <c r="F71" s="880">
        <f t="shared" si="22"/>
        <v>4</v>
      </c>
      <c r="G71" s="880">
        <f t="shared" si="22"/>
        <v>0</v>
      </c>
      <c r="H71" s="880">
        <f t="shared" si="22"/>
        <v>526</v>
      </c>
      <c r="I71" s="880">
        <f t="shared" si="22"/>
        <v>423</v>
      </c>
      <c r="J71" s="880">
        <f t="shared" si="22"/>
        <v>302</v>
      </c>
      <c r="K71" s="880">
        <f t="shared" si="22"/>
        <v>19</v>
      </c>
      <c r="L71" s="880">
        <f t="shared" si="22"/>
        <v>102</v>
      </c>
      <c r="M71" s="880">
        <f t="shared" si="22"/>
        <v>0</v>
      </c>
      <c r="N71" s="880">
        <f t="shared" si="22"/>
        <v>0</v>
      </c>
      <c r="O71" s="880">
        <f t="shared" si="22"/>
        <v>0</v>
      </c>
      <c r="P71" s="880">
        <f t="shared" si="22"/>
        <v>0</v>
      </c>
      <c r="Q71" s="880">
        <f t="shared" si="22"/>
        <v>103</v>
      </c>
      <c r="R71" s="881">
        <f t="shared" si="2"/>
        <v>205</v>
      </c>
      <c r="S71" s="882">
        <f t="shared" si="3"/>
        <v>75.88652482269504</v>
      </c>
      <c r="T71" s="887"/>
      <c r="U71" s="884"/>
    </row>
    <row r="72" spans="1:20" ht="23.25" customHeight="1">
      <c r="A72" s="894" t="s">
        <v>745</v>
      </c>
      <c r="B72" s="757" t="s">
        <v>746</v>
      </c>
      <c r="C72" s="752">
        <f>SUM(D72:E72)</f>
        <v>168</v>
      </c>
      <c r="D72" s="752">
        <v>52</v>
      </c>
      <c r="E72" s="752">
        <f>18+20+6+11+9+13+4+22+13</f>
        <v>116</v>
      </c>
      <c r="F72" s="752">
        <f>1+1</f>
        <v>2</v>
      </c>
      <c r="G72" s="752">
        <v>0</v>
      </c>
      <c r="H72" s="752">
        <f>SUM(I72,Q72)</f>
        <v>166</v>
      </c>
      <c r="I72" s="752">
        <f>SUM(J72:P72)</f>
        <v>130</v>
      </c>
      <c r="J72" s="752">
        <f>37+7+12+11+7+5+18+14</f>
        <v>111</v>
      </c>
      <c r="K72" s="752">
        <f>2+1</f>
        <v>3</v>
      </c>
      <c r="L72" s="752">
        <f>C72-J72-K72-M72-N72-O72-P72-Q72-F72-G72</f>
        <v>16</v>
      </c>
      <c r="M72" s="752">
        <v>0</v>
      </c>
      <c r="N72" s="752">
        <v>0</v>
      </c>
      <c r="O72" s="752">
        <v>0</v>
      </c>
      <c r="P72" s="778">
        <v>0</v>
      </c>
      <c r="Q72" s="754">
        <v>36</v>
      </c>
      <c r="R72" s="776">
        <f t="shared" si="2"/>
        <v>52</v>
      </c>
      <c r="S72" s="749">
        <f t="shared" si="3"/>
        <v>87.6923076923077</v>
      </c>
      <c r="T72" s="736"/>
    </row>
    <row r="73" spans="1:21" s="635" customFormat="1" ht="23.25" customHeight="1">
      <c r="A73" s="894" t="s">
        <v>747</v>
      </c>
      <c r="B73" s="757" t="s">
        <v>748</v>
      </c>
      <c r="C73" s="752">
        <f>SUM(D73:E73)</f>
        <v>219</v>
      </c>
      <c r="D73" s="752">
        <v>98</v>
      </c>
      <c r="E73" s="752">
        <f>15+12+10+9+10+21+11+6+8+19</f>
        <v>121</v>
      </c>
      <c r="F73" s="752">
        <f>1</f>
        <v>1</v>
      </c>
      <c r="G73" s="752">
        <v>0</v>
      </c>
      <c r="H73" s="752">
        <f>SUM(I73,Q73)</f>
        <v>218</v>
      </c>
      <c r="I73" s="752">
        <f>SUM(J73:P73)</f>
        <v>183</v>
      </c>
      <c r="J73" s="752">
        <f>8+8+10+15+9+10+9+10+16</f>
        <v>95</v>
      </c>
      <c r="K73" s="752">
        <f>3+9+2</f>
        <v>14</v>
      </c>
      <c r="L73" s="752">
        <f>C73-J73-K73-M73-N73-O73-P73-Q73-F73-G73</f>
        <v>74</v>
      </c>
      <c r="M73" s="752">
        <v>0</v>
      </c>
      <c r="N73" s="752">
        <v>0</v>
      </c>
      <c r="O73" s="752">
        <v>0</v>
      </c>
      <c r="P73" s="778">
        <v>0</v>
      </c>
      <c r="Q73" s="754">
        <f>47-8-4</f>
        <v>35</v>
      </c>
      <c r="R73" s="776">
        <f t="shared" si="2"/>
        <v>109</v>
      </c>
      <c r="S73" s="749">
        <f t="shared" si="3"/>
        <v>59.56284153005464</v>
      </c>
      <c r="T73" s="736"/>
      <c r="U73" s="711"/>
    </row>
    <row r="74" spans="1:21" s="635" customFormat="1" ht="23.25" customHeight="1">
      <c r="A74" s="894" t="s">
        <v>749</v>
      </c>
      <c r="B74" s="757" t="s">
        <v>750</v>
      </c>
      <c r="C74" s="752">
        <f>SUM(D74:E74)</f>
        <v>143</v>
      </c>
      <c r="D74" s="752">
        <v>49</v>
      </c>
      <c r="E74" s="752">
        <f>11+22+15+4+4+12+6+14+6</f>
        <v>94</v>
      </c>
      <c r="F74" s="752">
        <f>1</f>
        <v>1</v>
      </c>
      <c r="G74" s="752">
        <v>0</v>
      </c>
      <c r="H74" s="752">
        <f>SUM(I74,Q74)</f>
        <v>142</v>
      </c>
      <c r="I74" s="752">
        <f>SUM(J74:P74)</f>
        <v>110</v>
      </c>
      <c r="J74" s="752">
        <f>31+4+8+15+5+4+11+11+7</f>
        <v>96</v>
      </c>
      <c r="K74" s="752">
        <f>1+1</f>
        <v>2</v>
      </c>
      <c r="L74" s="752">
        <f>C74-J74-K74-M74-N74-O74-P74-Q74-F74-G74</f>
        <v>12</v>
      </c>
      <c r="M74" s="752">
        <v>0</v>
      </c>
      <c r="N74" s="752">
        <v>0</v>
      </c>
      <c r="O74" s="752">
        <v>0</v>
      </c>
      <c r="P74" s="778">
        <f>0</f>
        <v>0</v>
      </c>
      <c r="Q74" s="754">
        <v>32</v>
      </c>
      <c r="R74" s="776">
        <f t="shared" si="2"/>
        <v>44</v>
      </c>
      <c r="S74" s="749">
        <f t="shared" si="3"/>
        <v>89.0909090909091</v>
      </c>
      <c r="T74" s="736"/>
      <c r="U74" s="711"/>
    </row>
    <row r="75" spans="1:21" s="885" customFormat="1" ht="23.25" customHeight="1">
      <c r="A75" s="891">
        <v>10</v>
      </c>
      <c r="B75" s="888" t="s">
        <v>751</v>
      </c>
      <c r="C75" s="880">
        <f>SUM(D75:E75)</f>
        <v>1888</v>
      </c>
      <c r="D75" s="880">
        <f aca="true" t="shared" si="23" ref="D75:Q75">SUM(D76:D84)</f>
        <v>1225</v>
      </c>
      <c r="E75" s="880">
        <f t="shared" si="23"/>
        <v>663</v>
      </c>
      <c r="F75" s="880">
        <f t="shared" si="23"/>
        <v>21</v>
      </c>
      <c r="G75" s="880">
        <f t="shared" si="23"/>
        <v>8</v>
      </c>
      <c r="H75" s="880">
        <f>SUM(I75,Q75)</f>
        <v>1867</v>
      </c>
      <c r="I75" s="880">
        <f>SUM(J75:P75)</f>
        <v>1011</v>
      </c>
      <c r="J75" s="880">
        <f t="shared" si="23"/>
        <v>550</v>
      </c>
      <c r="K75" s="880">
        <f t="shared" si="23"/>
        <v>21</v>
      </c>
      <c r="L75" s="880">
        <f t="shared" si="23"/>
        <v>429</v>
      </c>
      <c r="M75" s="880">
        <f t="shared" si="23"/>
        <v>5</v>
      </c>
      <c r="N75" s="880">
        <f t="shared" si="23"/>
        <v>1</v>
      </c>
      <c r="O75" s="880">
        <f t="shared" si="23"/>
        <v>0</v>
      </c>
      <c r="P75" s="880">
        <f t="shared" si="23"/>
        <v>5</v>
      </c>
      <c r="Q75" s="880">
        <f t="shared" si="23"/>
        <v>856</v>
      </c>
      <c r="R75" s="881">
        <f t="shared" si="2"/>
        <v>1296</v>
      </c>
      <c r="S75" s="882">
        <f t="shared" si="3"/>
        <v>56.47873392680515</v>
      </c>
      <c r="T75" s="887"/>
      <c r="U75" s="884"/>
    </row>
    <row r="76" spans="1:21" s="635" customFormat="1" ht="23.25" customHeight="1">
      <c r="A76" s="894" t="s">
        <v>779</v>
      </c>
      <c r="B76" s="762" t="s">
        <v>718</v>
      </c>
      <c r="C76" s="772">
        <v>40</v>
      </c>
      <c r="D76" s="772">
        <v>25</v>
      </c>
      <c r="E76" s="772">
        <v>15</v>
      </c>
      <c r="F76" s="772">
        <v>0</v>
      </c>
      <c r="G76" s="772">
        <v>1</v>
      </c>
      <c r="H76" s="772">
        <v>40</v>
      </c>
      <c r="I76" s="772">
        <v>17</v>
      </c>
      <c r="J76" s="772">
        <v>14</v>
      </c>
      <c r="K76" s="772">
        <v>0</v>
      </c>
      <c r="L76" s="772">
        <v>3</v>
      </c>
      <c r="M76" s="772">
        <v>0</v>
      </c>
      <c r="N76" s="772">
        <v>0</v>
      </c>
      <c r="O76" s="772">
        <v>0</v>
      </c>
      <c r="P76" s="772">
        <v>0</v>
      </c>
      <c r="Q76" s="772">
        <v>23</v>
      </c>
      <c r="R76" s="776">
        <f aca="true" t="shared" si="24" ref="R76:R111">SUM(L76:Q76)</f>
        <v>26</v>
      </c>
      <c r="S76" s="749">
        <f aca="true" t="shared" si="25" ref="S76:S111">(J76+K76)/I76*100</f>
        <v>82.35294117647058</v>
      </c>
      <c r="T76" s="736"/>
      <c r="U76" s="711"/>
    </row>
    <row r="77" spans="1:20" ht="23.25" customHeight="1">
      <c r="A77" s="894" t="s">
        <v>863</v>
      </c>
      <c r="B77" s="762" t="s">
        <v>829</v>
      </c>
      <c r="C77" s="772">
        <v>206</v>
      </c>
      <c r="D77" s="772">
        <v>143</v>
      </c>
      <c r="E77" s="772">
        <v>63</v>
      </c>
      <c r="F77" s="772">
        <v>3</v>
      </c>
      <c r="G77" s="772">
        <v>7</v>
      </c>
      <c r="H77" s="772">
        <v>203</v>
      </c>
      <c r="I77" s="772">
        <v>97</v>
      </c>
      <c r="J77" s="772">
        <v>42</v>
      </c>
      <c r="K77" s="772">
        <v>3</v>
      </c>
      <c r="L77" s="772">
        <v>52</v>
      </c>
      <c r="M77" s="772">
        <v>0</v>
      </c>
      <c r="N77" s="772">
        <v>0</v>
      </c>
      <c r="O77" s="772">
        <v>0</v>
      </c>
      <c r="P77" s="772">
        <v>0</v>
      </c>
      <c r="Q77" s="772">
        <v>106</v>
      </c>
      <c r="R77" s="776">
        <f t="shared" si="24"/>
        <v>158</v>
      </c>
      <c r="S77" s="749">
        <f t="shared" si="25"/>
        <v>46.391752577319586</v>
      </c>
      <c r="T77" s="736"/>
    </row>
    <row r="78" spans="1:21" s="635" customFormat="1" ht="23.25" customHeight="1">
      <c r="A78" s="894" t="s">
        <v>780</v>
      </c>
      <c r="B78" s="762" t="s">
        <v>752</v>
      </c>
      <c r="C78" s="772">
        <v>270</v>
      </c>
      <c r="D78" s="772">
        <v>177</v>
      </c>
      <c r="E78" s="772">
        <v>93</v>
      </c>
      <c r="F78" s="772">
        <v>0</v>
      </c>
      <c r="G78" s="772">
        <v>0</v>
      </c>
      <c r="H78" s="772">
        <v>270</v>
      </c>
      <c r="I78" s="772">
        <v>149</v>
      </c>
      <c r="J78" s="772">
        <v>77</v>
      </c>
      <c r="K78" s="772">
        <v>1</v>
      </c>
      <c r="L78" s="772">
        <v>67</v>
      </c>
      <c r="M78" s="772">
        <v>0</v>
      </c>
      <c r="N78" s="772">
        <v>1</v>
      </c>
      <c r="O78" s="772">
        <v>0</v>
      </c>
      <c r="P78" s="772">
        <v>3</v>
      </c>
      <c r="Q78" s="772">
        <v>121</v>
      </c>
      <c r="R78" s="776">
        <f t="shared" si="24"/>
        <v>192</v>
      </c>
      <c r="S78" s="749">
        <f t="shared" si="25"/>
        <v>52.348993288590606</v>
      </c>
      <c r="T78" s="736"/>
      <c r="U78" s="711"/>
    </row>
    <row r="79" spans="1:20" ht="23.25" customHeight="1">
      <c r="A79" s="894" t="s">
        <v>781</v>
      </c>
      <c r="B79" s="762" t="s">
        <v>830</v>
      </c>
      <c r="C79" s="772">
        <v>206</v>
      </c>
      <c r="D79" s="772">
        <v>142</v>
      </c>
      <c r="E79" s="772">
        <v>64</v>
      </c>
      <c r="F79" s="772">
        <v>2</v>
      </c>
      <c r="G79" s="772">
        <v>0</v>
      </c>
      <c r="H79" s="772">
        <v>204</v>
      </c>
      <c r="I79" s="772">
        <v>102</v>
      </c>
      <c r="J79" s="772">
        <v>53</v>
      </c>
      <c r="K79" s="772">
        <v>3</v>
      </c>
      <c r="L79" s="772">
        <v>44</v>
      </c>
      <c r="M79" s="772">
        <v>0</v>
      </c>
      <c r="N79" s="772">
        <v>0</v>
      </c>
      <c r="O79" s="772">
        <v>0</v>
      </c>
      <c r="P79" s="772">
        <v>2</v>
      </c>
      <c r="Q79" s="772">
        <v>102</v>
      </c>
      <c r="R79" s="776">
        <f t="shared" si="24"/>
        <v>148</v>
      </c>
      <c r="S79" s="749">
        <f t="shared" si="25"/>
        <v>54.90196078431373</v>
      </c>
      <c r="T79" s="736"/>
    </row>
    <row r="80" spans="1:20" ht="23.25" customHeight="1">
      <c r="A80" s="894" t="s">
        <v>782</v>
      </c>
      <c r="B80" s="762" t="s">
        <v>753</v>
      </c>
      <c r="C80" s="772">
        <v>258</v>
      </c>
      <c r="D80" s="772">
        <v>152</v>
      </c>
      <c r="E80" s="772">
        <v>106</v>
      </c>
      <c r="F80" s="772">
        <v>1</v>
      </c>
      <c r="G80" s="772">
        <v>0</v>
      </c>
      <c r="H80" s="772">
        <v>257</v>
      </c>
      <c r="I80" s="772">
        <v>172</v>
      </c>
      <c r="J80" s="772">
        <v>87</v>
      </c>
      <c r="K80" s="772">
        <v>6</v>
      </c>
      <c r="L80" s="772">
        <v>79</v>
      </c>
      <c r="M80" s="772">
        <v>0</v>
      </c>
      <c r="N80" s="772">
        <v>0</v>
      </c>
      <c r="O80" s="772">
        <v>0</v>
      </c>
      <c r="P80" s="772">
        <v>0</v>
      </c>
      <c r="Q80" s="772">
        <v>85</v>
      </c>
      <c r="R80" s="776">
        <f t="shared" si="24"/>
        <v>164</v>
      </c>
      <c r="S80" s="749">
        <f t="shared" si="25"/>
        <v>54.06976744186046</v>
      </c>
      <c r="T80" s="736"/>
    </row>
    <row r="81" spans="1:21" s="635" customFormat="1" ht="23.25" customHeight="1">
      <c r="A81" s="894" t="s">
        <v>783</v>
      </c>
      <c r="B81" s="762" t="s">
        <v>755</v>
      </c>
      <c r="C81" s="772">
        <v>232</v>
      </c>
      <c r="D81" s="772">
        <v>128</v>
      </c>
      <c r="E81" s="772">
        <v>104</v>
      </c>
      <c r="F81" s="772">
        <v>2</v>
      </c>
      <c r="G81" s="772">
        <v>0</v>
      </c>
      <c r="H81" s="772">
        <v>230</v>
      </c>
      <c r="I81" s="772">
        <v>147</v>
      </c>
      <c r="J81" s="772">
        <v>86</v>
      </c>
      <c r="K81" s="772">
        <v>1</v>
      </c>
      <c r="L81" s="772">
        <v>58</v>
      </c>
      <c r="M81" s="772">
        <v>2</v>
      </c>
      <c r="N81" s="772">
        <v>0</v>
      </c>
      <c r="O81" s="772">
        <v>0</v>
      </c>
      <c r="P81" s="772">
        <v>0</v>
      </c>
      <c r="Q81" s="772">
        <v>83</v>
      </c>
      <c r="R81" s="776">
        <f t="shared" si="24"/>
        <v>143</v>
      </c>
      <c r="S81" s="749">
        <f t="shared" si="25"/>
        <v>59.183673469387756</v>
      </c>
      <c r="T81" s="736"/>
      <c r="U81" s="711"/>
    </row>
    <row r="82" spans="1:20" ht="23.25" customHeight="1">
      <c r="A82" s="894" t="s">
        <v>754</v>
      </c>
      <c r="B82" s="763" t="s">
        <v>831</v>
      </c>
      <c r="C82" s="790">
        <v>239</v>
      </c>
      <c r="D82" s="790">
        <v>166</v>
      </c>
      <c r="E82" s="790">
        <v>73</v>
      </c>
      <c r="F82" s="790">
        <v>4</v>
      </c>
      <c r="G82" s="790">
        <v>0</v>
      </c>
      <c r="H82" s="790">
        <v>235</v>
      </c>
      <c r="I82" s="790">
        <v>127</v>
      </c>
      <c r="J82" s="790">
        <v>70</v>
      </c>
      <c r="K82" s="790">
        <v>0</v>
      </c>
      <c r="L82" s="790">
        <v>54</v>
      </c>
      <c r="M82" s="790">
        <v>3</v>
      </c>
      <c r="N82" s="790">
        <v>0</v>
      </c>
      <c r="O82" s="790">
        <v>0</v>
      </c>
      <c r="P82" s="790">
        <v>0</v>
      </c>
      <c r="Q82" s="790">
        <v>108</v>
      </c>
      <c r="R82" s="776">
        <f t="shared" si="24"/>
        <v>165</v>
      </c>
      <c r="S82" s="749">
        <f t="shared" si="25"/>
        <v>55.118110236220474</v>
      </c>
      <c r="T82" s="736"/>
    </row>
    <row r="83" spans="1:20" ht="23.25" customHeight="1">
      <c r="A83" s="894" t="s">
        <v>756</v>
      </c>
      <c r="B83" s="762" t="s">
        <v>832</v>
      </c>
      <c r="C83" s="772">
        <v>228</v>
      </c>
      <c r="D83" s="772">
        <v>143</v>
      </c>
      <c r="E83" s="772">
        <v>85</v>
      </c>
      <c r="F83" s="772">
        <v>0</v>
      </c>
      <c r="G83" s="772">
        <v>0</v>
      </c>
      <c r="H83" s="772">
        <v>228</v>
      </c>
      <c r="I83" s="772">
        <v>103</v>
      </c>
      <c r="J83" s="772">
        <v>62</v>
      </c>
      <c r="K83" s="772">
        <v>4</v>
      </c>
      <c r="L83" s="772">
        <v>37</v>
      </c>
      <c r="M83" s="772">
        <v>0</v>
      </c>
      <c r="N83" s="772">
        <v>0</v>
      </c>
      <c r="O83" s="772">
        <v>0</v>
      </c>
      <c r="P83" s="772">
        <v>0</v>
      </c>
      <c r="Q83" s="772">
        <v>125</v>
      </c>
      <c r="R83" s="776">
        <f t="shared" si="24"/>
        <v>162</v>
      </c>
      <c r="S83" s="749">
        <f t="shared" si="25"/>
        <v>64.07766990291263</v>
      </c>
      <c r="T83" s="736"/>
    </row>
    <row r="84" spans="1:20" ht="23.25" customHeight="1">
      <c r="A84" s="894" t="s">
        <v>757</v>
      </c>
      <c r="B84" s="762" t="s">
        <v>758</v>
      </c>
      <c r="C84" s="772">
        <v>209</v>
      </c>
      <c r="D84" s="772">
        <v>149</v>
      </c>
      <c r="E84" s="772">
        <v>60</v>
      </c>
      <c r="F84" s="772">
        <v>9</v>
      </c>
      <c r="G84" s="772">
        <v>0</v>
      </c>
      <c r="H84" s="772">
        <v>200</v>
      </c>
      <c r="I84" s="772">
        <v>97</v>
      </c>
      <c r="J84" s="772">
        <v>59</v>
      </c>
      <c r="K84" s="772">
        <v>3</v>
      </c>
      <c r="L84" s="772">
        <v>35</v>
      </c>
      <c r="M84" s="772">
        <v>0</v>
      </c>
      <c r="N84" s="772">
        <v>0</v>
      </c>
      <c r="O84" s="772">
        <v>0</v>
      </c>
      <c r="P84" s="772">
        <v>0</v>
      </c>
      <c r="Q84" s="772">
        <v>103</v>
      </c>
      <c r="R84" s="776">
        <f t="shared" si="24"/>
        <v>138</v>
      </c>
      <c r="S84" s="749">
        <f t="shared" si="25"/>
        <v>63.91752577319587</v>
      </c>
      <c r="T84" s="736"/>
    </row>
    <row r="85" spans="1:21" s="885" customFormat="1" ht="23.25" customHeight="1">
      <c r="A85" s="891">
        <v>11</v>
      </c>
      <c r="B85" s="888" t="s">
        <v>759</v>
      </c>
      <c r="C85" s="880">
        <f>SUM(C86:C87)</f>
        <v>167</v>
      </c>
      <c r="D85" s="880">
        <f aca="true" t="shared" si="26" ref="D85:Q85">SUM(D86:D87)</f>
        <v>56</v>
      </c>
      <c r="E85" s="880">
        <f t="shared" si="26"/>
        <v>111</v>
      </c>
      <c r="F85" s="880">
        <f t="shared" si="26"/>
        <v>1</v>
      </c>
      <c r="G85" s="880">
        <f t="shared" si="26"/>
        <v>0</v>
      </c>
      <c r="H85" s="880">
        <f t="shared" si="26"/>
        <v>166</v>
      </c>
      <c r="I85" s="880">
        <f t="shared" si="26"/>
        <v>126</v>
      </c>
      <c r="J85" s="880">
        <f t="shared" si="26"/>
        <v>102</v>
      </c>
      <c r="K85" s="880">
        <f t="shared" si="26"/>
        <v>1</v>
      </c>
      <c r="L85" s="880">
        <f t="shared" si="26"/>
        <v>20</v>
      </c>
      <c r="M85" s="880">
        <f t="shared" si="26"/>
        <v>0</v>
      </c>
      <c r="N85" s="880">
        <f t="shared" si="26"/>
        <v>0</v>
      </c>
      <c r="O85" s="880">
        <f t="shared" si="26"/>
        <v>0</v>
      </c>
      <c r="P85" s="880">
        <f t="shared" si="26"/>
        <v>3</v>
      </c>
      <c r="Q85" s="880">
        <f t="shared" si="26"/>
        <v>40</v>
      </c>
      <c r="R85" s="881">
        <f t="shared" si="24"/>
        <v>63</v>
      </c>
      <c r="S85" s="882">
        <f t="shared" si="25"/>
        <v>81.74603174603175</v>
      </c>
      <c r="T85" s="887"/>
      <c r="U85" s="884"/>
    </row>
    <row r="86" spans="1:20" ht="23.25" customHeight="1">
      <c r="A86" s="894" t="s">
        <v>760</v>
      </c>
      <c r="B86" s="755" t="s">
        <v>761</v>
      </c>
      <c r="C86" s="786">
        <v>100</v>
      </c>
      <c r="D86" s="786">
        <v>23</v>
      </c>
      <c r="E86" s="786">
        <v>77</v>
      </c>
      <c r="F86" s="786">
        <v>1</v>
      </c>
      <c r="G86" s="786">
        <v>0</v>
      </c>
      <c r="H86" s="786">
        <v>99</v>
      </c>
      <c r="I86" s="786">
        <v>83</v>
      </c>
      <c r="J86" s="786">
        <v>72</v>
      </c>
      <c r="K86" s="786">
        <v>1</v>
      </c>
      <c r="L86" s="786">
        <v>9</v>
      </c>
      <c r="M86" s="786">
        <v>0</v>
      </c>
      <c r="N86" s="786">
        <v>0</v>
      </c>
      <c r="O86" s="786">
        <v>0</v>
      </c>
      <c r="P86" s="787">
        <v>1</v>
      </c>
      <c r="Q86" s="788">
        <v>16</v>
      </c>
      <c r="R86" s="776">
        <f t="shared" si="24"/>
        <v>26</v>
      </c>
      <c r="S86" s="749">
        <f t="shared" si="25"/>
        <v>87.95180722891565</v>
      </c>
      <c r="T86" s="736"/>
    </row>
    <row r="87" spans="1:20" ht="23.25" customHeight="1">
      <c r="A87" s="894" t="s">
        <v>762</v>
      </c>
      <c r="B87" s="755" t="s">
        <v>763</v>
      </c>
      <c r="C87" s="786">
        <v>67</v>
      </c>
      <c r="D87" s="786">
        <v>33</v>
      </c>
      <c r="E87" s="786">
        <v>34</v>
      </c>
      <c r="F87" s="786">
        <v>0</v>
      </c>
      <c r="G87" s="786">
        <v>0</v>
      </c>
      <c r="H87" s="786">
        <f>I87+Q87</f>
        <v>67</v>
      </c>
      <c r="I87" s="786">
        <f>J87+K87+L87+M87+N87+O87+P87</f>
        <v>43</v>
      </c>
      <c r="J87" s="786">
        <v>30</v>
      </c>
      <c r="K87" s="786">
        <v>0</v>
      </c>
      <c r="L87" s="786">
        <v>11</v>
      </c>
      <c r="M87" s="786">
        <v>0</v>
      </c>
      <c r="N87" s="786">
        <v>0</v>
      </c>
      <c r="O87" s="786">
        <v>0</v>
      </c>
      <c r="P87" s="787">
        <v>2</v>
      </c>
      <c r="Q87" s="788">
        <v>24</v>
      </c>
      <c r="R87" s="776">
        <f t="shared" si="24"/>
        <v>37</v>
      </c>
      <c r="S87" s="749">
        <f t="shared" si="25"/>
        <v>69.76744186046511</v>
      </c>
      <c r="T87" s="736"/>
    </row>
    <row r="88" spans="1:21" s="885" customFormat="1" ht="23.25" customHeight="1">
      <c r="A88" s="891">
        <v>12</v>
      </c>
      <c r="B88" s="888" t="s">
        <v>765</v>
      </c>
      <c r="C88" s="880">
        <f>SUM(C89:C91)</f>
        <v>527</v>
      </c>
      <c r="D88" s="880">
        <f aca="true" t="shared" si="27" ref="D88:Q88">SUM(D89:D91)</f>
        <v>156</v>
      </c>
      <c r="E88" s="880">
        <f t="shared" si="27"/>
        <v>371</v>
      </c>
      <c r="F88" s="880">
        <f t="shared" si="27"/>
        <v>5</v>
      </c>
      <c r="G88" s="880">
        <f t="shared" si="27"/>
        <v>0</v>
      </c>
      <c r="H88" s="880">
        <f t="shared" si="27"/>
        <v>522</v>
      </c>
      <c r="I88" s="880">
        <f t="shared" si="27"/>
        <v>407</v>
      </c>
      <c r="J88" s="880">
        <f t="shared" si="27"/>
        <v>339</v>
      </c>
      <c r="K88" s="880">
        <f t="shared" si="27"/>
        <v>10</v>
      </c>
      <c r="L88" s="880">
        <f t="shared" si="27"/>
        <v>58</v>
      </c>
      <c r="M88" s="880">
        <f t="shared" si="27"/>
        <v>0</v>
      </c>
      <c r="N88" s="880">
        <f t="shared" si="27"/>
        <v>0</v>
      </c>
      <c r="O88" s="880">
        <f t="shared" si="27"/>
        <v>0</v>
      </c>
      <c r="P88" s="880">
        <f t="shared" si="27"/>
        <v>0</v>
      </c>
      <c r="Q88" s="880">
        <f t="shared" si="27"/>
        <v>115</v>
      </c>
      <c r="R88" s="881">
        <f t="shared" si="24"/>
        <v>173</v>
      </c>
      <c r="S88" s="882">
        <f t="shared" si="25"/>
        <v>85.74938574938575</v>
      </c>
      <c r="T88" s="887"/>
      <c r="U88" s="884"/>
    </row>
    <row r="89" spans="1:20" ht="23.25" customHeight="1">
      <c r="A89" s="893">
        <v>12.1</v>
      </c>
      <c r="B89" s="755" t="s">
        <v>805</v>
      </c>
      <c r="C89" s="789">
        <f>D89+E89</f>
        <v>238</v>
      </c>
      <c r="D89" s="789">
        <v>31</v>
      </c>
      <c r="E89" s="789">
        <v>207</v>
      </c>
      <c r="F89" s="789">
        <v>0</v>
      </c>
      <c r="G89" s="789">
        <v>0</v>
      </c>
      <c r="H89" s="789">
        <f>C89-F89-G89</f>
        <v>238</v>
      </c>
      <c r="I89" s="789">
        <f>H89-Q89</f>
        <v>216</v>
      </c>
      <c r="J89" s="789">
        <v>208</v>
      </c>
      <c r="K89" s="789">
        <v>1</v>
      </c>
      <c r="L89" s="789">
        <f>I89-J89-K89</f>
        <v>7</v>
      </c>
      <c r="M89" s="789"/>
      <c r="N89" s="789"/>
      <c r="O89" s="789"/>
      <c r="P89" s="789"/>
      <c r="Q89" s="789">
        <v>22</v>
      </c>
      <c r="R89" s="776">
        <f t="shared" si="24"/>
        <v>29</v>
      </c>
      <c r="S89" s="749">
        <f t="shared" si="25"/>
        <v>96.75925925925925</v>
      </c>
      <c r="T89" s="736"/>
    </row>
    <row r="90" spans="1:20" ht="23.25" customHeight="1">
      <c r="A90" s="893">
        <v>12.2</v>
      </c>
      <c r="B90" s="755" t="s">
        <v>766</v>
      </c>
      <c r="C90" s="789">
        <f>D90+E90</f>
        <v>193</v>
      </c>
      <c r="D90" s="789">
        <v>100</v>
      </c>
      <c r="E90" s="789">
        <v>93</v>
      </c>
      <c r="F90" s="789">
        <v>5</v>
      </c>
      <c r="G90" s="789">
        <v>0</v>
      </c>
      <c r="H90" s="789">
        <f>C90-F90-G90</f>
        <v>188</v>
      </c>
      <c r="I90" s="789">
        <f>H90-Q90</f>
        <v>117</v>
      </c>
      <c r="J90" s="789">
        <v>74</v>
      </c>
      <c r="K90" s="789">
        <v>9</v>
      </c>
      <c r="L90" s="789">
        <f>I90-J90-K90</f>
        <v>34</v>
      </c>
      <c r="M90" s="789">
        <v>0</v>
      </c>
      <c r="N90" s="789"/>
      <c r="O90" s="789"/>
      <c r="P90" s="789"/>
      <c r="Q90" s="789">
        <v>71</v>
      </c>
      <c r="R90" s="776">
        <f t="shared" si="24"/>
        <v>105</v>
      </c>
      <c r="S90" s="749">
        <f t="shared" si="25"/>
        <v>70.94017094017094</v>
      </c>
      <c r="T90" s="736"/>
    </row>
    <row r="91" spans="1:21" s="635" customFormat="1" ht="23.25" customHeight="1">
      <c r="A91" s="893">
        <v>12.3</v>
      </c>
      <c r="B91" s="755" t="s">
        <v>712</v>
      </c>
      <c r="C91" s="789">
        <f>D91+E91</f>
        <v>96</v>
      </c>
      <c r="D91" s="789">
        <v>25</v>
      </c>
      <c r="E91" s="789">
        <v>71</v>
      </c>
      <c r="F91" s="789">
        <v>0</v>
      </c>
      <c r="G91" s="789">
        <v>0</v>
      </c>
      <c r="H91" s="789">
        <f>C91-F91-G91</f>
        <v>96</v>
      </c>
      <c r="I91" s="789">
        <f>H91-Q91</f>
        <v>74</v>
      </c>
      <c r="J91" s="789">
        <v>57</v>
      </c>
      <c r="K91" s="789">
        <v>0</v>
      </c>
      <c r="L91" s="789">
        <f>I91-J91-K91</f>
        <v>17</v>
      </c>
      <c r="M91" s="789"/>
      <c r="N91" s="789"/>
      <c r="O91" s="789"/>
      <c r="P91" s="789"/>
      <c r="Q91" s="789">
        <v>22</v>
      </c>
      <c r="R91" s="776">
        <f t="shared" si="24"/>
        <v>39</v>
      </c>
      <c r="S91" s="749">
        <f t="shared" si="25"/>
        <v>77.02702702702703</v>
      </c>
      <c r="T91" s="736"/>
      <c r="U91" s="711"/>
    </row>
    <row r="92" spans="1:21" s="885" customFormat="1" ht="23.25" customHeight="1">
      <c r="A92" s="891">
        <v>13</v>
      </c>
      <c r="B92" s="888" t="s">
        <v>767</v>
      </c>
      <c r="C92" s="880">
        <f>SUM(C93:C103)</f>
        <v>3089</v>
      </c>
      <c r="D92" s="880">
        <f aca="true" t="shared" si="28" ref="D92:Q92">SUM(D93:D103)</f>
        <v>1962</v>
      </c>
      <c r="E92" s="880">
        <f t="shared" si="28"/>
        <v>1127</v>
      </c>
      <c r="F92" s="880">
        <f t="shared" si="28"/>
        <v>7</v>
      </c>
      <c r="G92" s="880">
        <f t="shared" si="28"/>
        <v>1</v>
      </c>
      <c r="H92" s="880">
        <f t="shared" si="28"/>
        <v>3082</v>
      </c>
      <c r="I92" s="880">
        <f t="shared" si="28"/>
        <v>1987</v>
      </c>
      <c r="J92" s="880">
        <f t="shared" si="28"/>
        <v>1065</v>
      </c>
      <c r="K92" s="880">
        <f t="shared" si="28"/>
        <v>23</v>
      </c>
      <c r="L92" s="880">
        <f t="shared" si="28"/>
        <v>897</v>
      </c>
      <c r="M92" s="880">
        <f t="shared" si="28"/>
        <v>0</v>
      </c>
      <c r="N92" s="880">
        <f t="shared" si="28"/>
        <v>2</v>
      </c>
      <c r="O92" s="880">
        <f t="shared" si="28"/>
        <v>0</v>
      </c>
      <c r="P92" s="880">
        <f t="shared" si="28"/>
        <v>0</v>
      </c>
      <c r="Q92" s="880">
        <f t="shared" si="28"/>
        <v>1095</v>
      </c>
      <c r="R92" s="881">
        <f t="shared" si="24"/>
        <v>1994</v>
      </c>
      <c r="S92" s="882">
        <f t="shared" si="25"/>
        <v>54.75591343734273</v>
      </c>
      <c r="T92" s="887"/>
      <c r="U92" s="884"/>
    </row>
    <row r="93" spans="1:20" ht="23.25" customHeight="1">
      <c r="A93" s="893">
        <v>13.1</v>
      </c>
      <c r="B93" s="764" t="s">
        <v>768</v>
      </c>
      <c r="C93" s="752">
        <f>D93+E93</f>
        <v>380</v>
      </c>
      <c r="D93" s="752">
        <v>147</v>
      </c>
      <c r="E93" s="752">
        <v>233</v>
      </c>
      <c r="F93" s="752">
        <v>4</v>
      </c>
      <c r="G93" s="752">
        <v>0</v>
      </c>
      <c r="H93" s="752">
        <f>I93+Q93</f>
        <v>376</v>
      </c>
      <c r="I93" s="752">
        <f>J93+K93+L93+M93+N93+O93+P93</f>
        <v>297</v>
      </c>
      <c r="J93" s="752">
        <v>210</v>
      </c>
      <c r="K93" s="752">
        <v>0</v>
      </c>
      <c r="L93" s="752">
        <v>87</v>
      </c>
      <c r="M93" s="752">
        <v>0</v>
      </c>
      <c r="N93" s="752">
        <v>0</v>
      </c>
      <c r="O93" s="752">
        <v>0</v>
      </c>
      <c r="P93" s="752">
        <v>0</v>
      </c>
      <c r="Q93" s="754">
        <v>79</v>
      </c>
      <c r="R93" s="776">
        <f t="shared" si="24"/>
        <v>166</v>
      </c>
      <c r="S93" s="749">
        <f t="shared" si="25"/>
        <v>70.70707070707071</v>
      </c>
      <c r="T93" s="736"/>
    </row>
    <row r="94" spans="1:20" ht="23.25" customHeight="1">
      <c r="A94" s="893">
        <v>13.2</v>
      </c>
      <c r="B94" s="764" t="s">
        <v>769</v>
      </c>
      <c r="C94" s="752">
        <f aca="true" t="shared" si="29" ref="C94:C103">D94+E94</f>
        <v>271</v>
      </c>
      <c r="D94" s="752">
        <v>204</v>
      </c>
      <c r="E94" s="752">
        <v>67</v>
      </c>
      <c r="F94" s="752">
        <v>0</v>
      </c>
      <c r="G94" s="752">
        <v>0</v>
      </c>
      <c r="H94" s="752">
        <f aca="true" t="shared" si="30" ref="H94:H103">I94+Q94</f>
        <v>271</v>
      </c>
      <c r="I94" s="752">
        <f>J94+K94+L94+M94+N94+O94+P94</f>
        <v>170</v>
      </c>
      <c r="J94" s="752">
        <v>82</v>
      </c>
      <c r="K94" s="752">
        <v>3</v>
      </c>
      <c r="L94" s="752">
        <v>85</v>
      </c>
      <c r="M94" s="752">
        <v>0</v>
      </c>
      <c r="N94" s="752">
        <v>0</v>
      </c>
      <c r="O94" s="752">
        <v>0</v>
      </c>
      <c r="P94" s="752">
        <v>0</v>
      </c>
      <c r="Q94" s="754">
        <v>101</v>
      </c>
      <c r="R94" s="776">
        <f t="shared" si="24"/>
        <v>186</v>
      </c>
      <c r="S94" s="749">
        <f t="shared" si="25"/>
        <v>50</v>
      </c>
      <c r="T94" s="736"/>
    </row>
    <row r="95" spans="1:21" s="635" customFormat="1" ht="23.25" customHeight="1">
      <c r="A95" s="893">
        <v>13.3</v>
      </c>
      <c r="B95" s="764" t="s">
        <v>834</v>
      </c>
      <c r="C95" s="752">
        <f t="shared" si="29"/>
        <v>451</v>
      </c>
      <c r="D95" s="752">
        <v>289</v>
      </c>
      <c r="E95" s="752">
        <v>162</v>
      </c>
      <c r="F95" s="752">
        <v>1</v>
      </c>
      <c r="G95" s="752">
        <v>0</v>
      </c>
      <c r="H95" s="752">
        <f t="shared" si="30"/>
        <v>450</v>
      </c>
      <c r="I95" s="752">
        <f aca="true" t="shared" si="31" ref="I95:I103">J95+K95+L95+M95+N95+O95+P95</f>
        <v>251</v>
      </c>
      <c r="J95" s="752">
        <v>134</v>
      </c>
      <c r="K95" s="752">
        <v>2</v>
      </c>
      <c r="L95" s="752">
        <v>115</v>
      </c>
      <c r="M95" s="752">
        <v>0</v>
      </c>
      <c r="N95" s="752">
        <v>0</v>
      </c>
      <c r="O95" s="752">
        <v>0</v>
      </c>
      <c r="P95" s="752">
        <v>0</v>
      </c>
      <c r="Q95" s="754">
        <v>199</v>
      </c>
      <c r="R95" s="776">
        <f t="shared" si="24"/>
        <v>314</v>
      </c>
      <c r="S95" s="749">
        <f t="shared" si="25"/>
        <v>54.18326693227091</v>
      </c>
      <c r="T95" s="736"/>
      <c r="U95" s="711"/>
    </row>
    <row r="96" spans="1:20" ht="23.25" customHeight="1">
      <c r="A96" s="893">
        <v>13.4</v>
      </c>
      <c r="B96" s="765" t="s">
        <v>835</v>
      </c>
      <c r="C96" s="752">
        <f t="shared" si="29"/>
        <v>387</v>
      </c>
      <c r="D96" s="752">
        <v>276</v>
      </c>
      <c r="E96" s="752">
        <v>111</v>
      </c>
      <c r="F96" s="752">
        <v>0</v>
      </c>
      <c r="G96" s="752">
        <v>0</v>
      </c>
      <c r="H96" s="752">
        <f>I96+Q96</f>
        <v>387</v>
      </c>
      <c r="I96" s="752">
        <f t="shared" si="31"/>
        <v>221</v>
      </c>
      <c r="J96" s="752">
        <v>109</v>
      </c>
      <c r="K96" s="752">
        <v>1</v>
      </c>
      <c r="L96" s="752">
        <v>111</v>
      </c>
      <c r="M96" s="752">
        <v>0</v>
      </c>
      <c r="N96" s="752">
        <v>0</v>
      </c>
      <c r="O96" s="752">
        <v>0</v>
      </c>
      <c r="P96" s="752">
        <v>0</v>
      </c>
      <c r="Q96" s="754">
        <v>166</v>
      </c>
      <c r="R96" s="776">
        <f t="shared" si="24"/>
        <v>277</v>
      </c>
      <c r="S96" s="749">
        <f t="shared" si="25"/>
        <v>49.7737556561086</v>
      </c>
      <c r="T96" s="736"/>
    </row>
    <row r="97" spans="1:20" ht="23.25" customHeight="1">
      <c r="A97" s="893">
        <v>13.5</v>
      </c>
      <c r="B97" s="766" t="s">
        <v>836</v>
      </c>
      <c r="C97" s="752">
        <f t="shared" si="29"/>
        <v>211</v>
      </c>
      <c r="D97" s="752">
        <v>134</v>
      </c>
      <c r="E97" s="752">
        <v>77</v>
      </c>
      <c r="F97" s="752">
        <v>1</v>
      </c>
      <c r="G97" s="752">
        <v>1</v>
      </c>
      <c r="H97" s="752">
        <f t="shared" si="30"/>
        <v>210</v>
      </c>
      <c r="I97" s="752">
        <f t="shared" si="31"/>
        <v>136</v>
      </c>
      <c r="J97" s="752">
        <v>72</v>
      </c>
      <c r="K97" s="752">
        <v>2</v>
      </c>
      <c r="L97" s="752">
        <v>60</v>
      </c>
      <c r="M97" s="752">
        <v>0</v>
      </c>
      <c r="N97" s="752">
        <v>2</v>
      </c>
      <c r="O97" s="752">
        <v>0</v>
      </c>
      <c r="P97" s="752">
        <v>0</v>
      </c>
      <c r="Q97" s="754">
        <v>74</v>
      </c>
      <c r="R97" s="776">
        <f t="shared" si="24"/>
        <v>136</v>
      </c>
      <c r="S97" s="749">
        <f t="shared" si="25"/>
        <v>54.41176470588235</v>
      </c>
      <c r="T97" s="736"/>
    </row>
    <row r="98" spans="1:21" s="635" customFormat="1" ht="23.25" customHeight="1">
      <c r="A98" s="893">
        <v>13.6</v>
      </c>
      <c r="B98" s="766" t="s">
        <v>837</v>
      </c>
      <c r="C98" s="752">
        <f t="shared" si="29"/>
        <v>310</v>
      </c>
      <c r="D98" s="752">
        <v>220</v>
      </c>
      <c r="E98" s="752">
        <v>90</v>
      </c>
      <c r="F98" s="752">
        <v>0</v>
      </c>
      <c r="G98" s="752">
        <v>0</v>
      </c>
      <c r="H98" s="752">
        <f t="shared" si="30"/>
        <v>310</v>
      </c>
      <c r="I98" s="752">
        <f t="shared" si="31"/>
        <v>184</v>
      </c>
      <c r="J98" s="752">
        <v>83</v>
      </c>
      <c r="K98" s="752">
        <v>7</v>
      </c>
      <c r="L98" s="752">
        <v>94</v>
      </c>
      <c r="M98" s="752">
        <v>0</v>
      </c>
      <c r="N98" s="752">
        <v>0</v>
      </c>
      <c r="O98" s="752">
        <v>0</v>
      </c>
      <c r="P98" s="752">
        <v>0</v>
      </c>
      <c r="Q98" s="754">
        <v>126</v>
      </c>
      <c r="R98" s="776">
        <f t="shared" si="24"/>
        <v>220</v>
      </c>
      <c r="S98" s="749">
        <f t="shared" si="25"/>
        <v>48.91304347826087</v>
      </c>
      <c r="T98" s="736"/>
      <c r="U98" s="711"/>
    </row>
    <row r="99" spans="1:20" ht="23.25" customHeight="1">
      <c r="A99" s="893">
        <v>13.7</v>
      </c>
      <c r="B99" s="766" t="s">
        <v>838</v>
      </c>
      <c r="C99" s="752">
        <f t="shared" si="29"/>
        <v>294</v>
      </c>
      <c r="D99" s="752">
        <v>194</v>
      </c>
      <c r="E99" s="752">
        <v>100</v>
      </c>
      <c r="F99" s="752">
        <v>0</v>
      </c>
      <c r="G99" s="752">
        <v>0</v>
      </c>
      <c r="H99" s="752">
        <f t="shared" si="30"/>
        <v>294</v>
      </c>
      <c r="I99" s="752">
        <f>J99+K99+L99+M99+N99+O99+P99</f>
        <v>170</v>
      </c>
      <c r="J99" s="752">
        <v>98</v>
      </c>
      <c r="K99" s="752">
        <v>1</v>
      </c>
      <c r="L99" s="752">
        <v>71</v>
      </c>
      <c r="M99" s="752">
        <v>0</v>
      </c>
      <c r="N99" s="752">
        <v>0</v>
      </c>
      <c r="O99" s="752">
        <v>0</v>
      </c>
      <c r="P99" s="752">
        <v>0</v>
      </c>
      <c r="Q99" s="754">
        <v>124</v>
      </c>
      <c r="R99" s="776">
        <f t="shared" si="24"/>
        <v>195</v>
      </c>
      <c r="S99" s="749">
        <f t="shared" si="25"/>
        <v>58.235294117647065</v>
      </c>
      <c r="T99" s="736"/>
    </row>
    <row r="100" spans="1:20" ht="23.25" customHeight="1">
      <c r="A100" s="893">
        <v>13.8</v>
      </c>
      <c r="B100" s="764" t="s">
        <v>839</v>
      </c>
      <c r="C100" s="752">
        <f t="shared" si="29"/>
        <v>105</v>
      </c>
      <c r="D100" s="752">
        <v>27</v>
      </c>
      <c r="E100" s="752">
        <v>78</v>
      </c>
      <c r="F100" s="752">
        <v>0</v>
      </c>
      <c r="G100" s="752">
        <v>0</v>
      </c>
      <c r="H100" s="752">
        <f t="shared" si="30"/>
        <v>105</v>
      </c>
      <c r="I100" s="752">
        <f>J100+K100+L100+M100+N100+O100+P100</f>
        <v>105</v>
      </c>
      <c r="J100" s="752">
        <v>104</v>
      </c>
      <c r="K100" s="752">
        <v>1</v>
      </c>
      <c r="L100" s="752">
        <v>0</v>
      </c>
      <c r="M100" s="752">
        <v>0</v>
      </c>
      <c r="N100" s="752">
        <v>0</v>
      </c>
      <c r="O100" s="752">
        <v>0</v>
      </c>
      <c r="P100" s="752">
        <v>0</v>
      </c>
      <c r="Q100" s="754">
        <v>0</v>
      </c>
      <c r="R100" s="776">
        <f t="shared" si="24"/>
        <v>0</v>
      </c>
      <c r="S100" s="749">
        <f t="shared" si="25"/>
        <v>100</v>
      </c>
      <c r="T100" s="736"/>
    </row>
    <row r="101" spans="1:20" ht="23.25" customHeight="1">
      <c r="A101" s="893">
        <v>13.9</v>
      </c>
      <c r="B101" s="764" t="s">
        <v>840</v>
      </c>
      <c r="C101" s="752">
        <f t="shared" si="29"/>
        <v>236</v>
      </c>
      <c r="D101" s="752">
        <v>151</v>
      </c>
      <c r="E101" s="752">
        <v>85</v>
      </c>
      <c r="F101" s="752">
        <v>1</v>
      </c>
      <c r="G101" s="752">
        <v>0</v>
      </c>
      <c r="H101" s="752">
        <f t="shared" si="30"/>
        <v>235</v>
      </c>
      <c r="I101" s="752">
        <f t="shared" si="31"/>
        <v>149</v>
      </c>
      <c r="J101" s="752">
        <v>67</v>
      </c>
      <c r="K101" s="752">
        <v>2</v>
      </c>
      <c r="L101" s="752">
        <v>80</v>
      </c>
      <c r="M101" s="752">
        <v>0</v>
      </c>
      <c r="N101" s="752">
        <v>0</v>
      </c>
      <c r="O101" s="752">
        <v>0</v>
      </c>
      <c r="P101" s="752">
        <v>0</v>
      </c>
      <c r="Q101" s="754">
        <v>86</v>
      </c>
      <c r="R101" s="776">
        <f t="shared" si="24"/>
        <v>166</v>
      </c>
      <c r="S101" s="749">
        <f t="shared" si="25"/>
        <v>46.308724832214764</v>
      </c>
      <c r="T101" s="736"/>
    </row>
    <row r="102" spans="1:20" ht="23.25" customHeight="1">
      <c r="A102" s="893" t="s">
        <v>842</v>
      </c>
      <c r="B102" s="764" t="s">
        <v>841</v>
      </c>
      <c r="C102" s="752">
        <f t="shared" si="29"/>
        <v>284</v>
      </c>
      <c r="D102" s="752">
        <v>213</v>
      </c>
      <c r="E102" s="752">
        <v>71</v>
      </c>
      <c r="F102" s="752">
        <v>0</v>
      </c>
      <c r="G102" s="752">
        <v>0</v>
      </c>
      <c r="H102" s="752">
        <f t="shared" si="30"/>
        <v>284</v>
      </c>
      <c r="I102" s="752">
        <f t="shared" si="31"/>
        <v>192</v>
      </c>
      <c r="J102" s="752">
        <v>60</v>
      </c>
      <c r="K102" s="752">
        <v>0</v>
      </c>
      <c r="L102" s="752">
        <v>132</v>
      </c>
      <c r="M102" s="752">
        <v>0</v>
      </c>
      <c r="N102" s="752">
        <v>0</v>
      </c>
      <c r="O102" s="752">
        <v>0</v>
      </c>
      <c r="P102" s="752">
        <v>0</v>
      </c>
      <c r="Q102" s="754">
        <v>92</v>
      </c>
      <c r="R102" s="776">
        <f t="shared" si="24"/>
        <v>224</v>
      </c>
      <c r="S102" s="749">
        <f t="shared" si="25"/>
        <v>31.25</v>
      </c>
      <c r="T102" s="736"/>
    </row>
    <row r="103" spans="1:20" ht="23.25" customHeight="1">
      <c r="A103" s="893" t="s">
        <v>864</v>
      </c>
      <c r="B103" s="764" t="s">
        <v>708</v>
      </c>
      <c r="C103" s="752">
        <f t="shared" si="29"/>
        <v>160</v>
      </c>
      <c r="D103" s="752">
        <f>80+27</f>
        <v>107</v>
      </c>
      <c r="E103" s="752">
        <f>46+7</f>
        <v>53</v>
      </c>
      <c r="F103" s="752">
        <v>0</v>
      </c>
      <c r="G103" s="752">
        <v>0</v>
      </c>
      <c r="H103" s="752">
        <f t="shared" si="30"/>
        <v>160</v>
      </c>
      <c r="I103" s="752">
        <f t="shared" si="31"/>
        <v>112</v>
      </c>
      <c r="J103" s="752">
        <f>45+1</f>
        <v>46</v>
      </c>
      <c r="K103" s="752">
        <f>4</f>
        <v>4</v>
      </c>
      <c r="L103" s="752">
        <f>42+20</f>
        <v>62</v>
      </c>
      <c r="M103" s="752">
        <v>0</v>
      </c>
      <c r="N103" s="752">
        <v>0</v>
      </c>
      <c r="O103" s="752">
        <v>0</v>
      </c>
      <c r="P103" s="752">
        <v>0</v>
      </c>
      <c r="Q103" s="754">
        <f>9+39</f>
        <v>48</v>
      </c>
      <c r="R103" s="776">
        <f t="shared" si="24"/>
        <v>110</v>
      </c>
      <c r="S103" s="749">
        <f t="shared" si="25"/>
        <v>44.642857142857146</v>
      </c>
      <c r="T103" s="736"/>
    </row>
    <row r="104" spans="1:21" s="885" customFormat="1" ht="23.25" customHeight="1">
      <c r="A104" s="891">
        <v>14</v>
      </c>
      <c r="B104" s="888" t="s">
        <v>770</v>
      </c>
      <c r="C104" s="880">
        <f>SUM(C105:C106)</f>
        <v>673</v>
      </c>
      <c r="D104" s="880">
        <f>D105+D106</f>
        <v>164</v>
      </c>
      <c r="E104" s="880">
        <f>E105+E106</f>
        <v>509</v>
      </c>
      <c r="F104" s="880">
        <f>F105+F106</f>
        <v>9</v>
      </c>
      <c r="G104" s="880">
        <f>G105+G106</f>
        <v>0</v>
      </c>
      <c r="H104" s="880">
        <f>SUM(H105:H106)</f>
        <v>664</v>
      </c>
      <c r="I104" s="880">
        <f>SUM(I105:I106)</f>
        <v>558</v>
      </c>
      <c r="J104" s="880">
        <f>J105+J106</f>
        <v>379</v>
      </c>
      <c r="K104" s="880">
        <f aca="true" t="shared" si="32" ref="K104:P104">K105+K106</f>
        <v>2</v>
      </c>
      <c r="L104" s="880">
        <f t="shared" si="32"/>
        <v>177</v>
      </c>
      <c r="M104" s="880">
        <f t="shared" si="32"/>
        <v>0</v>
      </c>
      <c r="N104" s="880">
        <f t="shared" si="32"/>
        <v>0</v>
      </c>
      <c r="O104" s="880">
        <f t="shared" si="32"/>
        <v>0</v>
      </c>
      <c r="P104" s="880">
        <f t="shared" si="32"/>
        <v>0</v>
      </c>
      <c r="Q104" s="880">
        <f>SUM(Q105:Q106)</f>
        <v>106</v>
      </c>
      <c r="R104" s="881">
        <f t="shared" si="24"/>
        <v>283</v>
      </c>
      <c r="S104" s="882">
        <f t="shared" si="25"/>
        <v>68.27956989247312</v>
      </c>
      <c r="T104" s="887"/>
      <c r="U104" s="884"/>
    </row>
    <row r="105" spans="1:20" ht="23.25" customHeight="1">
      <c r="A105" s="894" t="s">
        <v>771</v>
      </c>
      <c r="B105" s="755" t="s">
        <v>772</v>
      </c>
      <c r="C105" s="789">
        <f>D105+E105</f>
        <v>250</v>
      </c>
      <c r="D105" s="789">
        <v>64</v>
      </c>
      <c r="E105" s="789">
        <v>186</v>
      </c>
      <c r="F105" s="789">
        <v>5</v>
      </c>
      <c r="G105" s="789">
        <v>0</v>
      </c>
      <c r="H105" s="789">
        <f>I105+Q105</f>
        <v>245</v>
      </c>
      <c r="I105" s="789">
        <f>SUM(J105:P105)</f>
        <v>196</v>
      </c>
      <c r="J105" s="789">
        <v>131</v>
      </c>
      <c r="K105" s="789">
        <v>2</v>
      </c>
      <c r="L105" s="789">
        <v>63</v>
      </c>
      <c r="M105" s="789">
        <v>0</v>
      </c>
      <c r="N105" s="789">
        <v>0</v>
      </c>
      <c r="O105" s="789">
        <v>0</v>
      </c>
      <c r="P105" s="789">
        <v>0</v>
      </c>
      <c r="Q105" s="789">
        <v>49</v>
      </c>
      <c r="R105" s="776">
        <f t="shared" si="24"/>
        <v>112</v>
      </c>
      <c r="S105" s="749">
        <f t="shared" si="25"/>
        <v>67.85714285714286</v>
      </c>
      <c r="T105" s="736"/>
    </row>
    <row r="106" spans="1:20" ht="23.25" customHeight="1">
      <c r="A106" s="894" t="s">
        <v>773</v>
      </c>
      <c r="B106" s="755" t="s">
        <v>774</v>
      </c>
      <c r="C106" s="789">
        <f>D106+E106</f>
        <v>423</v>
      </c>
      <c r="D106" s="789">
        <v>100</v>
      </c>
      <c r="E106" s="789">
        <v>323</v>
      </c>
      <c r="F106" s="789">
        <v>4</v>
      </c>
      <c r="G106" s="789">
        <v>0</v>
      </c>
      <c r="H106" s="789">
        <f>I106+Q106</f>
        <v>419</v>
      </c>
      <c r="I106" s="789">
        <f>SUM(J106:P106)</f>
        <v>362</v>
      </c>
      <c r="J106" s="789">
        <v>248</v>
      </c>
      <c r="K106" s="789">
        <v>0</v>
      </c>
      <c r="L106" s="789">
        <v>114</v>
      </c>
      <c r="M106" s="789">
        <v>0</v>
      </c>
      <c r="N106" s="789">
        <v>0</v>
      </c>
      <c r="O106" s="789">
        <v>0</v>
      </c>
      <c r="P106" s="789">
        <v>0</v>
      </c>
      <c r="Q106" s="789">
        <v>57</v>
      </c>
      <c r="R106" s="776">
        <f t="shared" si="24"/>
        <v>171</v>
      </c>
      <c r="S106" s="749">
        <f t="shared" si="25"/>
        <v>68.50828729281768</v>
      </c>
      <c r="T106" s="736"/>
    </row>
    <row r="107" spans="1:21" s="885" customFormat="1" ht="23.25" customHeight="1">
      <c r="A107" s="891">
        <v>15</v>
      </c>
      <c r="B107" s="888" t="s">
        <v>775</v>
      </c>
      <c r="C107" s="880">
        <f>SUM(C108:C111)</f>
        <v>340</v>
      </c>
      <c r="D107" s="880">
        <f aca="true" t="shared" si="33" ref="D107:Q107">SUM(D108:D111)</f>
        <v>150</v>
      </c>
      <c r="E107" s="880">
        <f t="shared" si="33"/>
        <v>190</v>
      </c>
      <c r="F107" s="880">
        <f t="shared" si="33"/>
        <v>4</v>
      </c>
      <c r="G107" s="880">
        <f t="shared" si="33"/>
        <v>0</v>
      </c>
      <c r="H107" s="880">
        <f t="shared" si="33"/>
        <v>336</v>
      </c>
      <c r="I107" s="880">
        <f t="shared" si="33"/>
        <v>238</v>
      </c>
      <c r="J107" s="880">
        <f t="shared" si="33"/>
        <v>165</v>
      </c>
      <c r="K107" s="880">
        <f t="shared" si="33"/>
        <v>0</v>
      </c>
      <c r="L107" s="880">
        <f t="shared" si="33"/>
        <v>71</v>
      </c>
      <c r="M107" s="880">
        <f t="shared" si="33"/>
        <v>2</v>
      </c>
      <c r="N107" s="880">
        <f t="shared" si="33"/>
        <v>0</v>
      </c>
      <c r="O107" s="880">
        <f t="shared" si="33"/>
        <v>0</v>
      </c>
      <c r="P107" s="880">
        <f t="shared" si="33"/>
        <v>0</v>
      </c>
      <c r="Q107" s="880">
        <f t="shared" si="33"/>
        <v>98</v>
      </c>
      <c r="R107" s="881">
        <f t="shared" si="24"/>
        <v>171</v>
      </c>
      <c r="S107" s="882">
        <f t="shared" si="25"/>
        <v>69.32773109243698</v>
      </c>
      <c r="T107" s="887"/>
      <c r="U107" s="884"/>
    </row>
    <row r="108" spans="1:20" ht="23.25" customHeight="1">
      <c r="A108" s="893">
        <v>15.1</v>
      </c>
      <c r="B108" s="759" t="s">
        <v>776</v>
      </c>
      <c r="C108" s="752">
        <f>D108+E108</f>
        <v>65</v>
      </c>
      <c r="D108" s="752">
        <v>15</v>
      </c>
      <c r="E108" s="752">
        <v>50</v>
      </c>
      <c r="F108" s="752">
        <v>3</v>
      </c>
      <c r="G108" s="752">
        <v>0</v>
      </c>
      <c r="H108" s="752">
        <f>I108+Q108</f>
        <v>62</v>
      </c>
      <c r="I108" s="752">
        <f>J108+K108+L108+M108+N108+O108+P108</f>
        <v>60</v>
      </c>
      <c r="J108" s="752">
        <v>44</v>
      </c>
      <c r="K108" s="752">
        <v>0</v>
      </c>
      <c r="L108" s="752">
        <f>C108-F108-J108-K108-M108-N108-O108-P108-Q108</f>
        <v>16</v>
      </c>
      <c r="M108" s="752">
        <v>0</v>
      </c>
      <c r="N108" s="752">
        <v>0</v>
      </c>
      <c r="O108" s="752">
        <v>0</v>
      </c>
      <c r="P108" s="752">
        <v>0</v>
      </c>
      <c r="Q108" s="773">
        <v>2</v>
      </c>
      <c r="R108" s="776">
        <f t="shared" si="24"/>
        <v>18</v>
      </c>
      <c r="S108" s="749">
        <f t="shared" si="25"/>
        <v>73.33333333333333</v>
      </c>
      <c r="T108" s="736"/>
    </row>
    <row r="109" spans="1:20" ht="23.25" customHeight="1">
      <c r="A109" s="893">
        <v>15.2</v>
      </c>
      <c r="B109" s="759" t="s">
        <v>843</v>
      </c>
      <c r="C109" s="752">
        <f>D109+E109</f>
        <v>116</v>
      </c>
      <c r="D109" s="752">
        <v>58</v>
      </c>
      <c r="E109" s="752">
        <v>58</v>
      </c>
      <c r="F109" s="752">
        <v>0</v>
      </c>
      <c r="G109" s="752">
        <v>0</v>
      </c>
      <c r="H109" s="752">
        <f>I109+Q109</f>
        <v>116</v>
      </c>
      <c r="I109" s="752">
        <f>J109+K109+L109+M109+N109+O109+P109</f>
        <v>75</v>
      </c>
      <c r="J109" s="752">
        <v>53</v>
      </c>
      <c r="K109" s="752">
        <v>0</v>
      </c>
      <c r="L109" s="752">
        <f>C109-F109-J109-K109-M109-N109-O109-P109-Q109</f>
        <v>22</v>
      </c>
      <c r="M109" s="752">
        <v>0</v>
      </c>
      <c r="N109" s="752">
        <v>0</v>
      </c>
      <c r="O109" s="752" t="s">
        <v>818</v>
      </c>
      <c r="P109" s="752" t="s">
        <v>818</v>
      </c>
      <c r="Q109" s="773">
        <v>41</v>
      </c>
      <c r="R109" s="776">
        <f t="shared" si="24"/>
        <v>63</v>
      </c>
      <c r="S109" s="749">
        <f t="shared" si="25"/>
        <v>70.66666666666667</v>
      </c>
      <c r="T109" s="736"/>
    </row>
    <row r="110" spans="1:21" s="635" customFormat="1" ht="23.25" customHeight="1">
      <c r="A110" s="893">
        <v>15.3</v>
      </c>
      <c r="B110" s="759" t="s">
        <v>844</v>
      </c>
      <c r="C110" s="752">
        <f>D110+E110</f>
        <v>67</v>
      </c>
      <c r="D110" s="752">
        <v>38</v>
      </c>
      <c r="E110" s="752">
        <v>29</v>
      </c>
      <c r="F110" s="752">
        <f>1</f>
        <v>1</v>
      </c>
      <c r="G110" s="752">
        <v>0</v>
      </c>
      <c r="H110" s="752">
        <f>I110+Q110</f>
        <v>66</v>
      </c>
      <c r="I110" s="752">
        <f>J110+K110+L110+M110+N110+O110+P110</f>
        <v>39</v>
      </c>
      <c r="J110" s="752">
        <v>25</v>
      </c>
      <c r="K110" s="752">
        <v>0</v>
      </c>
      <c r="L110" s="752">
        <f>C110-F110-J110-K110-M110-N110-O110-P110-Q110</f>
        <v>12</v>
      </c>
      <c r="M110" s="752">
        <v>2</v>
      </c>
      <c r="N110" s="752">
        <v>0</v>
      </c>
      <c r="O110" s="752">
        <v>0</v>
      </c>
      <c r="P110" s="752">
        <v>0</v>
      </c>
      <c r="Q110" s="773">
        <v>27</v>
      </c>
      <c r="R110" s="776">
        <f t="shared" si="24"/>
        <v>41</v>
      </c>
      <c r="S110" s="749">
        <f t="shared" si="25"/>
        <v>64.1025641025641</v>
      </c>
      <c r="T110" s="736"/>
      <c r="U110" s="711"/>
    </row>
    <row r="111" spans="1:20" ht="23.25" customHeight="1">
      <c r="A111" s="893">
        <v>15.4</v>
      </c>
      <c r="B111" s="759" t="s">
        <v>845</v>
      </c>
      <c r="C111" s="752">
        <f>D111+E111</f>
        <v>92</v>
      </c>
      <c r="D111" s="752">
        <v>39</v>
      </c>
      <c r="E111" s="752">
        <v>53</v>
      </c>
      <c r="F111" s="752">
        <v>0</v>
      </c>
      <c r="G111" s="752">
        <v>0</v>
      </c>
      <c r="H111" s="752">
        <f>I111+Q111</f>
        <v>92</v>
      </c>
      <c r="I111" s="752">
        <f>J111+K111+L111+M111+N111+O111+P111</f>
        <v>64</v>
      </c>
      <c r="J111" s="752">
        <v>43</v>
      </c>
      <c r="K111" s="752">
        <v>0</v>
      </c>
      <c r="L111" s="752">
        <f>C111-F111-J111-K111-M111-N111-O111-P111-Q111</f>
        <v>21</v>
      </c>
      <c r="M111" s="752">
        <v>0</v>
      </c>
      <c r="N111" s="752">
        <v>0</v>
      </c>
      <c r="O111" s="752" t="s">
        <v>818</v>
      </c>
      <c r="P111" s="752" t="s">
        <v>818</v>
      </c>
      <c r="Q111" s="773">
        <v>28</v>
      </c>
      <c r="R111" s="776">
        <f t="shared" si="24"/>
        <v>49</v>
      </c>
      <c r="S111" s="749">
        <f t="shared" si="25"/>
        <v>67.1875</v>
      </c>
      <c r="T111" s="736"/>
    </row>
    <row r="112" spans="1:21" s="412" customFormat="1" ht="29.25" customHeight="1">
      <c r="A112" s="1566"/>
      <c r="B112" s="1566"/>
      <c r="C112" s="1566"/>
      <c r="D112" s="1566"/>
      <c r="E112" s="1566"/>
      <c r="F112" s="767"/>
      <c r="G112" s="767"/>
      <c r="H112" s="768"/>
      <c r="I112" s="768"/>
      <c r="J112" s="767"/>
      <c r="K112" s="767"/>
      <c r="L112" s="767"/>
      <c r="M112" s="767"/>
      <c r="N112" s="1565" t="str">
        <f>'Thong tin'!B8</f>
        <v>Hải Phòng, ngày 03 tháng 8 năm 2017</v>
      </c>
      <c r="O112" s="1565"/>
      <c r="P112" s="1565"/>
      <c r="Q112" s="1565"/>
      <c r="R112" s="1565"/>
      <c r="S112" s="1565"/>
      <c r="T112" s="769"/>
      <c r="U112" s="712"/>
    </row>
    <row r="113" spans="1:21" s="413" customFormat="1" ht="19.5" customHeight="1">
      <c r="A113" s="895"/>
      <c r="B113" s="1562" t="s">
        <v>4</v>
      </c>
      <c r="C113" s="1562"/>
      <c r="D113" s="1562"/>
      <c r="E113" s="1562"/>
      <c r="F113" s="767"/>
      <c r="G113" s="767"/>
      <c r="H113" s="768"/>
      <c r="I113" s="768"/>
      <c r="J113" s="767"/>
      <c r="K113" s="767"/>
      <c r="L113" s="767"/>
      <c r="M113" s="767"/>
      <c r="N113" s="1565" t="str">
        <f>'Thong tin'!B7</f>
        <v>
PHÓ CỤC TRƯỞNG</v>
      </c>
      <c r="O113" s="1565"/>
      <c r="P113" s="1565"/>
      <c r="Q113" s="1565"/>
      <c r="R113" s="1565"/>
      <c r="S113" s="1565"/>
      <c r="T113" s="771"/>
      <c r="U113" s="713"/>
    </row>
    <row r="114" spans="1:19" ht="18.75">
      <c r="A114" s="896"/>
      <c r="B114" s="1508"/>
      <c r="C114" s="1508"/>
      <c r="D114" s="1508"/>
      <c r="E114" s="537"/>
      <c r="F114" s="537"/>
      <c r="G114" s="537"/>
      <c r="H114" s="677"/>
      <c r="I114" s="677"/>
      <c r="J114" s="537"/>
      <c r="K114" s="537"/>
      <c r="L114" s="537"/>
      <c r="M114" s="537"/>
      <c r="N114" s="1517"/>
      <c r="O114" s="1517"/>
      <c r="P114" s="1517"/>
      <c r="Q114" s="1517"/>
      <c r="R114" s="1517"/>
      <c r="S114" s="1517"/>
    </row>
    <row r="115" spans="1:19" ht="18.75">
      <c r="A115" s="896"/>
      <c r="B115" s="532"/>
      <c r="C115" s="674"/>
      <c r="D115" s="537"/>
      <c r="E115" s="537"/>
      <c r="F115" s="537"/>
      <c r="G115" s="537"/>
      <c r="H115" s="677"/>
      <c r="I115" s="677"/>
      <c r="J115" s="537"/>
      <c r="K115" s="537"/>
      <c r="L115" s="537"/>
      <c r="M115" s="537"/>
      <c r="N115" s="537"/>
      <c r="O115" s="537"/>
      <c r="P115" s="537"/>
      <c r="Q115" s="677"/>
      <c r="R115" s="674"/>
      <c r="S115" s="531"/>
    </row>
    <row r="116" spans="1:19" ht="18.75">
      <c r="A116" s="896"/>
      <c r="B116" s="1517"/>
      <c r="C116" s="1517"/>
      <c r="D116" s="1517"/>
      <c r="E116" s="1517"/>
      <c r="F116" s="537"/>
      <c r="G116" s="537"/>
      <c r="H116" s="677"/>
      <c r="I116" s="677"/>
      <c r="J116" s="537"/>
      <c r="K116" s="537"/>
      <c r="L116" s="537"/>
      <c r="M116" s="537"/>
      <c r="N116" s="537"/>
      <c r="O116" s="537"/>
      <c r="P116" s="1517"/>
      <c r="Q116" s="1517"/>
      <c r="R116" s="1517"/>
      <c r="S116" s="531"/>
    </row>
    <row r="117" spans="1:19" ht="15.75" customHeight="1">
      <c r="A117" s="897"/>
      <c r="B117" s="532"/>
      <c r="C117" s="674"/>
      <c r="D117" s="537"/>
      <c r="E117" s="537"/>
      <c r="F117" s="537"/>
      <c r="G117" s="537"/>
      <c r="H117" s="677"/>
      <c r="I117" s="677"/>
      <c r="J117" s="537"/>
      <c r="K117" s="537"/>
      <c r="L117" s="537"/>
      <c r="M117" s="537"/>
      <c r="N117" s="537"/>
      <c r="O117" s="537"/>
      <c r="P117" s="537"/>
      <c r="Q117" s="677"/>
      <c r="R117" s="674"/>
      <c r="S117" s="531"/>
    </row>
    <row r="118" spans="1:19" ht="15.75" customHeight="1">
      <c r="A118" s="896"/>
      <c r="B118" s="1567"/>
      <c r="C118" s="1567"/>
      <c r="D118" s="1567"/>
      <c r="E118" s="1567"/>
      <c r="F118" s="1567"/>
      <c r="G118" s="1567"/>
      <c r="H118" s="1567"/>
      <c r="I118" s="1567"/>
      <c r="J118" s="1567"/>
      <c r="K118" s="1567"/>
      <c r="L118" s="1567"/>
      <c r="M118" s="1567"/>
      <c r="N118" s="1567"/>
      <c r="O118" s="1567"/>
      <c r="P118" s="537"/>
      <c r="Q118" s="677"/>
      <c r="R118" s="674"/>
      <c r="S118" s="531"/>
    </row>
    <row r="119" spans="1:19" ht="18.75">
      <c r="A119" s="898"/>
      <c r="B119" s="633"/>
      <c r="C119" s="675"/>
      <c r="D119" s="541"/>
      <c r="E119" s="541"/>
      <c r="F119" s="541"/>
      <c r="G119" s="541"/>
      <c r="H119" s="675"/>
      <c r="I119" s="675"/>
      <c r="J119" s="541"/>
      <c r="K119" s="541"/>
      <c r="L119" s="541"/>
      <c r="M119" s="541"/>
      <c r="N119" s="541"/>
      <c r="O119" s="541"/>
      <c r="P119" s="541"/>
      <c r="Q119" s="674"/>
      <c r="R119" s="674"/>
      <c r="S119" s="531"/>
    </row>
    <row r="120" spans="1:19" ht="18.75">
      <c r="A120" s="896"/>
      <c r="B120" s="532"/>
      <c r="C120" s="674"/>
      <c r="D120" s="531"/>
      <c r="E120" s="531"/>
      <c r="F120" s="531"/>
      <c r="G120" s="531"/>
      <c r="H120" s="674"/>
      <c r="I120" s="674"/>
      <c r="J120" s="531"/>
      <c r="K120" s="531"/>
      <c r="L120" s="531"/>
      <c r="M120" s="531"/>
      <c r="N120" s="531"/>
      <c r="O120" s="531"/>
      <c r="P120" s="531"/>
      <c r="Q120" s="674"/>
      <c r="R120" s="674"/>
      <c r="S120" s="531"/>
    </row>
    <row r="121" spans="1:19" ht="18.75">
      <c r="A121" s="896"/>
      <c r="B121" s="1485" t="str">
        <f>'Thong tin'!B5</f>
        <v>Trần Thị Minh</v>
      </c>
      <c r="C121" s="1485"/>
      <c r="D121" s="1485"/>
      <c r="E121" s="1485"/>
      <c r="F121" s="531"/>
      <c r="G121" s="531"/>
      <c r="H121" s="674"/>
      <c r="I121" s="674"/>
      <c r="J121" s="531"/>
      <c r="K121" s="531"/>
      <c r="L121" s="531"/>
      <c r="M121" s="531"/>
      <c r="N121" s="1485" t="str">
        <f>'Thong tin'!B6</f>
        <v>Nguyễn Thị Mai Hoa</v>
      </c>
      <c r="O121" s="1485"/>
      <c r="P121" s="1485"/>
      <c r="Q121" s="1485"/>
      <c r="R121" s="1485"/>
      <c r="S121" s="1485"/>
    </row>
    <row r="122" spans="2:19" ht="18.75">
      <c r="B122" s="634"/>
      <c r="C122" s="676"/>
      <c r="D122" s="467"/>
      <c r="E122" s="467"/>
      <c r="F122" s="467"/>
      <c r="G122" s="467"/>
      <c r="H122" s="676"/>
      <c r="I122" s="676"/>
      <c r="J122" s="467"/>
      <c r="K122" s="467"/>
      <c r="L122" s="467"/>
      <c r="M122" s="467"/>
      <c r="N122" s="467"/>
      <c r="O122" s="467"/>
      <c r="P122" s="467"/>
      <c r="Q122" s="676"/>
      <c r="R122" s="676"/>
      <c r="S122" s="467"/>
    </row>
  </sheetData>
  <sheetProtection/>
  <mergeCells count="36">
    <mergeCell ref="E1:O1"/>
    <mergeCell ref="E2:O2"/>
    <mergeCell ref="E3:O3"/>
    <mergeCell ref="F6:F9"/>
    <mergeCell ref="G6:G9"/>
    <mergeCell ref="H6:Q6"/>
    <mergeCell ref="C6:E6"/>
    <mergeCell ref="A2:D2"/>
    <mergeCell ref="P2:S2"/>
    <mergeCell ref="A3:D3"/>
    <mergeCell ref="B114:D114"/>
    <mergeCell ref="B116:E116"/>
    <mergeCell ref="P116:R116"/>
    <mergeCell ref="R6:R9"/>
    <mergeCell ref="E8:E9"/>
    <mergeCell ref="J8:P8"/>
    <mergeCell ref="P4:S4"/>
    <mergeCell ref="A6:B9"/>
    <mergeCell ref="H7:H9"/>
    <mergeCell ref="Q7:Q9"/>
    <mergeCell ref="I8:I9"/>
    <mergeCell ref="S6:S9"/>
    <mergeCell ref="I7:P7"/>
    <mergeCell ref="C7:C9"/>
    <mergeCell ref="D7:E7"/>
    <mergeCell ref="D8:D9"/>
    <mergeCell ref="B121:E121"/>
    <mergeCell ref="A10:B10"/>
    <mergeCell ref="B113:E113"/>
    <mergeCell ref="A11:B11"/>
    <mergeCell ref="N113:S113"/>
    <mergeCell ref="A112:E112"/>
    <mergeCell ref="N112:S112"/>
    <mergeCell ref="N121:S121"/>
    <mergeCell ref="N114:S114"/>
    <mergeCell ref="B118:O118"/>
  </mergeCells>
  <conditionalFormatting sqref="C86:C87">
    <cfRule type="expression" priority="3" dxfId="0" stopIfTrue="1">
      <formula>$C$16&lt;&gt;$F$16+$H$16</formula>
    </cfRule>
  </conditionalFormatting>
  <conditionalFormatting sqref="I86:I87">
    <cfRule type="expression" priority="2" dxfId="0" stopIfTrue="1">
      <formula>$I$16&lt;&gt;SUM($J$16:$P$16)</formula>
    </cfRule>
  </conditionalFormatting>
  <conditionalFormatting sqref="H86:H87">
    <cfRule type="expression" priority="1" dxfId="0" stopIfTrue="1">
      <formula>$H$16&lt;&gt;$I$16+$Q$16</formula>
    </cfRule>
  </conditionalFormatting>
  <printOptions/>
  <pageMargins left="0.3937007874015748" right="0" top="0" bottom="0" header="0.4330708661417323" footer="0.2755905511811024"/>
  <pageSetup horizontalDpi="600" verticalDpi="600" orientation="landscape" paperSize="9" scale="88" r:id="rId2"/>
  <headerFooter differentFirst="1" alignWithMargins="0">
    <oddFooter>&amp;C&amp;P</oddFooter>
  </headerFooter>
  <ignoredErrors>
    <ignoredError sqref="C71:H71 C89:M91" unlockedFormula="1"/>
    <ignoredError sqref="C105:Q107 C68:G70 H68:H70 S105:S107 C92:M92 I60:I66 I67 I68:I70 R105:R107 I71" formula="1" unlockedFormula="1"/>
    <ignoredError sqref="C104:S104 H60:H66 H67 C67:G67 C93:P98 N92:P92" formula="1"/>
    <ignoredError sqref="I17:I19 R18:R22 R23:R25 I26:R58 I23:Q25 I59:R59 I72:R74 J60:R70 J71:R71 R76:R84 R86:R102" formulaRange="1"/>
    <ignoredError sqref="I60:I66 I67" formula="1" formulaRange="1"/>
    <ignoredError sqref="I68:I70 R105:R107" formula="1" formulaRange="1" unlockedFormula="1"/>
    <ignoredError sqref="I71" formulaRange="1" unlockedFormula="1"/>
    <ignoredError sqref="O109:P111" numberStoredAsText="1"/>
  </ignoredErrors>
  <drawing r:id="rId1"/>
</worksheet>
</file>

<file path=xl/worksheets/sheet23.xml><?xml version="1.0" encoding="utf-8"?>
<worksheet xmlns="http://schemas.openxmlformats.org/spreadsheetml/2006/main" xmlns:r="http://schemas.openxmlformats.org/officeDocument/2006/relationships">
  <sheetPr>
    <tabColor indexed="19"/>
  </sheetPr>
  <dimension ref="A1:AJ121"/>
  <sheetViews>
    <sheetView showZeros="0" view="pageBreakPreview" zoomScale="85" zoomScaleNormal="85" zoomScaleSheetLayoutView="85" zoomScalePageLayoutView="0" workbookViewId="0" topLeftCell="A19">
      <selection activeCell="K14" sqref="K14"/>
    </sheetView>
  </sheetViews>
  <sheetFormatPr defaultColWidth="9.00390625" defaultRowHeight="15.75"/>
  <cols>
    <col min="1" max="1" width="4.375" style="636" customWidth="1"/>
    <col min="2" max="2" width="17.50390625" style="636" customWidth="1"/>
    <col min="3" max="3" width="9.50390625" style="670" customWidth="1"/>
    <col min="4" max="4" width="9.375" style="642" customWidth="1"/>
    <col min="5" max="5" width="9.875" style="642" customWidth="1"/>
    <col min="6" max="6" width="8.125" style="642" customWidth="1"/>
    <col min="7" max="7" width="7.75390625" style="642" customWidth="1"/>
    <col min="8" max="8" width="9.375" style="670" customWidth="1"/>
    <col min="9" max="9" width="10.25390625" style="670" customWidth="1"/>
    <col min="10" max="10" width="8.625" style="642" customWidth="1"/>
    <col min="11" max="11" width="8.50390625" style="642" customWidth="1"/>
    <col min="12" max="12" width="5.875" style="642" customWidth="1"/>
    <col min="13" max="13" width="10.00390625" style="642" customWidth="1"/>
    <col min="14" max="14" width="7.50390625" style="642" customWidth="1"/>
    <col min="15" max="15" width="8.625" style="642" customWidth="1"/>
    <col min="16" max="16" width="6.375" style="642" customWidth="1"/>
    <col min="17" max="17" width="8.625" style="642" customWidth="1"/>
    <col min="18" max="18" width="9.75390625" style="670" customWidth="1"/>
    <col min="19" max="19" width="10.375" style="670" customWidth="1"/>
    <col min="20" max="20" width="6.75390625" style="708" customWidth="1"/>
    <col min="21" max="21" width="13.125" style="642" bestFit="1" customWidth="1"/>
    <col min="22" max="16384" width="9.00390625" style="636" customWidth="1"/>
  </cols>
  <sheetData>
    <row r="1" spans="1:20" ht="20.25" customHeight="1">
      <c r="A1" s="791" t="s">
        <v>35</v>
      </c>
      <c r="B1" s="791"/>
      <c r="C1" s="792"/>
      <c r="D1" s="793"/>
      <c r="E1" s="1585" t="s">
        <v>83</v>
      </c>
      <c r="F1" s="1585"/>
      <c r="G1" s="1585"/>
      <c r="H1" s="1585"/>
      <c r="I1" s="1585"/>
      <c r="J1" s="1585"/>
      <c r="K1" s="1585"/>
      <c r="L1" s="1585"/>
      <c r="M1" s="1585"/>
      <c r="N1" s="1585"/>
      <c r="O1" s="1585"/>
      <c r="P1" s="1585"/>
      <c r="Q1" s="794" t="s">
        <v>579</v>
      </c>
      <c r="R1" s="795"/>
      <c r="S1" s="795"/>
      <c r="T1" s="796"/>
    </row>
    <row r="2" spans="1:20" ht="17.25" customHeight="1">
      <c r="A2" s="1593" t="s">
        <v>344</v>
      </c>
      <c r="B2" s="1593"/>
      <c r="C2" s="1593"/>
      <c r="D2" s="1593"/>
      <c r="E2" s="1586" t="s">
        <v>42</v>
      </c>
      <c r="F2" s="1586"/>
      <c r="G2" s="1586"/>
      <c r="H2" s="1586"/>
      <c r="I2" s="1586"/>
      <c r="J2" s="1586"/>
      <c r="K2" s="1586"/>
      <c r="L2" s="1586"/>
      <c r="M2" s="1586"/>
      <c r="N2" s="1586"/>
      <c r="O2" s="1586"/>
      <c r="P2" s="1586"/>
      <c r="Q2" s="1594" t="str">
        <f>'Thong tin'!B4</f>
        <v>CTHADS Hải Phòng</v>
      </c>
      <c r="R2" s="1594"/>
      <c r="S2" s="1594"/>
      <c r="T2" s="1594"/>
    </row>
    <row r="3" spans="1:20" ht="18" customHeight="1">
      <c r="A3" s="1593" t="s">
        <v>345</v>
      </c>
      <c r="B3" s="1593"/>
      <c r="C3" s="1593"/>
      <c r="D3" s="1593"/>
      <c r="E3" s="1587" t="str">
        <f>'Thong tin'!B3</f>
        <v>10 tháng / năm 2017</v>
      </c>
      <c r="F3" s="1587"/>
      <c r="G3" s="1587"/>
      <c r="H3" s="1587"/>
      <c r="I3" s="1587"/>
      <c r="J3" s="1587"/>
      <c r="K3" s="1587"/>
      <c r="L3" s="1587"/>
      <c r="M3" s="1587"/>
      <c r="N3" s="1587"/>
      <c r="O3" s="1587"/>
      <c r="P3" s="1587"/>
      <c r="Q3" s="794" t="s">
        <v>785</v>
      </c>
      <c r="R3" s="797"/>
      <c r="S3" s="795"/>
      <c r="T3" s="796"/>
    </row>
    <row r="4" spans="1:20" ht="14.25" customHeight="1">
      <c r="A4" s="798" t="s">
        <v>217</v>
      </c>
      <c r="B4" s="791"/>
      <c r="C4" s="792"/>
      <c r="D4" s="793"/>
      <c r="E4" s="793"/>
      <c r="F4" s="793"/>
      <c r="G4" s="793"/>
      <c r="H4" s="792"/>
      <c r="I4" s="792"/>
      <c r="J4" s="793"/>
      <c r="K4" s="793"/>
      <c r="L4" s="793"/>
      <c r="M4" s="793"/>
      <c r="N4" s="793"/>
      <c r="O4" s="793"/>
      <c r="P4" s="793"/>
      <c r="Q4" s="1595" t="s">
        <v>412</v>
      </c>
      <c r="R4" s="1595"/>
      <c r="S4" s="1595"/>
      <c r="T4" s="1595"/>
    </row>
    <row r="5" spans="1:20" ht="21.75" customHeight="1" thickBot="1">
      <c r="A5" s="791"/>
      <c r="B5" s="791"/>
      <c r="C5" s="792"/>
      <c r="D5" s="793"/>
      <c r="E5" s="793"/>
      <c r="F5" s="793"/>
      <c r="G5" s="793"/>
      <c r="H5" s="792"/>
      <c r="I5" s="792"/>
      <c r="J5" s="793"/>
      <c r="K5" s="793"/>
      <c r="L5" s="793"/>
      <c r="M5" s="793"/>
      <c r="N5" s="793"/>
      <c r="O5" s="793"/>
      <c r="P5" s="793"/>
      <c r="Q5" s="1591" t="s">
        <v>580</v>
      </c>
      <c r="R5" s="1591"/>
      <c r="S5" s="1591"/>
      <c r="T5" s="1591"/>
    </row>
    <row r="6" spans="1:36" ht="18.75" customHeight="1" thickTop="1">
      <c r="A6" s="1606" t="s">
        <v>72</v>
      </c>
      <c r="B6" s="1607"/>
      <c r="C6" s="1610" t="s">
        <v>218</v>
      </c>
      <c r="D6" s="1610"/>
      <c r="E6" s="1610"/>
      <c r="F6" s="1588" t="s">
        <v>134</v>
      </c>
      <c r="G6" s="1588" t="s">
        <v>219</v>
      </c>
      <c r="H6" s="1590" t="s">
        <v>137</v>
      </c>
      <c r="I6" s="1590"/>
      <c r="J6" s="1590"/>
      <c r="K6" s="1590"/>
      <c r="L6" s="1590"/>
      <c r="M6" s="1590"/>
      <c r="N6" s="1590"/>
      <c r="O6" s="1590"/>
      <c r="P6" s="1590"/>
      <c r="Q6" s="1590"/>
      <c r="R6" s="1590"/>
      <c r="S6" s="1601" t="s">
        <v>354</v>
      </c>
      <c r="T6" s="1599" t="s">
        <v>578</v>
      </c>
      <c r="U6" s="643"/>
      <c r="V6" s="637"/>
      <c r="W6" s="637"/>
      <c r="X6" s="637"/>
      <c r="Y6" s="637"/>
      <c r="Z6" s="637"/>
      <c r="AA6" s="637"/>
      <c r="AB6" s="637"/>
      <c r="AC6" s="637"/>
      <c r="AD6" s="637"/>
      <c r="AE6" s="637"/>
      <c r="AF6" s="637"/>
      <c r="AG6" s="637"/>
      <c r="AH6" s="637"/>
      <c r="AI6" s="637"/>
      <c r="AJ6" s="637"/>
    </row>
    <row r="7" spans="1:36" s="638" customFormat="1" ht="21" customHeight="1">
      <c r="A7" s="1608"/>
      <c r="B7" s="1609"/>
      <c r="C7" s="1602" t="s">
        <v>51</v>
      </c>
      <c r="D7" s="1592" t="s">
        <v>7</v>
      </c>
      <c r="E7" s="1592"/>
      <c r="F7" s="1589"/>
      <c r="G7" s="1589"/>
      <c r="H7" s="1596" t="s">
        <v>137</v>
      </c>
      <c r="I7" s="1592" t="s">
        <v>138</v>
      </c>
      <c r="J7" s="1592"/>
      <c r="K7" s="1592"/>
      <c r="L7" s="1592"/>
      <c r="M7" s="1592"/>
      <c r="N7" s="1592"/>
      <c r="O7" s="1592"/>
      <c r="P7" s="1592"/>
      <c r="Q7" s="1592"/>
      <c r="R7" s="1596" t="s">
        <v>220</v>
      </c>
      <c r="S7" s="1602"/>
      <c r="T7" s="1600"/>
      <c r="U7" s="643"/>
      <c r="V7" s="637"/>
      <c r="W7" s="637"/>
      <c r="X7" s="637"/>
      <c r="Y7" s="637"/>
      <c r="Z7" s="637"/>
      <c r="AA7" s="637"/>
      <c r="AB7" s="637"/>
      <c r="AC7" s="637"/>
      <c r="AD7" s="637"/>
      <c r="AE7" s="637"/>
      <c r="AF7" s="637"/>
      <c r="AG7" s="637"/>
      <c r="AH7" s="637"/>
      <c r="AI7" s="637"/>
      <c r="AJ7" s="637"/>
    </row>
    <row r="8" spans="1:36" ht="21.75" customHeight="1">
      <c r="A8" s="1608"/>
      <c r="B8" s="1609"/>
      <c r="C8" s="1602"/>
      <c r="D8" s="1592" t="s">
        <v>221</v>
      </c>
      <c r="E8" s="1592" t="s">
        <v>222</v>
      </c>
      <c r="F8" s="1589"/>
      <c r="G8" s="1589"/>
      <c r="H8" s="1596"/>
      <c r="I8" s="1596" t="s">
        <v>577</v>
      </c>
      <c r="J8" s="1592" t="s">
        <v>7</v>
      </c>
      <c r="K8" s="1592"/>
      <c r="L8" s="1592"/>
      <c r="M8" s="1592"/>
      <c r="N8" s="1592"/>
      <c r="O8" s="1592"/>
      <c r="P8" s="1592"/>
      <c r="Q8" s="1592"/>
      <c r="R8" s="1596"/>
      <c r="S8" s="1602"/>
      <c r="T8" s="1600"/>
      <c r="U8" s="643"/>
      <c r="V8" s="637"/>
      <c r="W8" s="637"/>
      <c r="X8" s="637"/>
      <c r="Y8" s="637"/>
      <c r="Z8" s="637"/>
      <c r="AA8" s="637"/>
      <c r="AB8" s="637"/>
      <c r="AC8" s="637"/>
      <c r="AD8" s="637"/>
      <c r="AE8" s="637"/>
      <c r="AF8" s="637"/>
      <c r="AG8" s="637"/>
      <c r="AH8" s="637"/>
      <c r="AI8" s="637"/>
      <c r="AJ8" s="637"/>
    </row>
    <row r="9" spans="1:36" ht="84" customHeight="1">
      <c r="A9" s="1608"/>
      <c r="B9" s="1609"/>
      <c r="C9" s="1602"/>
      <c r="D9" s="1592"/>
      <c r="E9" s="1592"/>
      <c r="F9" s="1589"/>
      <c r="G9" s="1589"/>
      <c r="H9" s="1596"/>
      <c r="I9" s="1596"/>
      <c r="J9" s="799" t="s">
        <v>223</v>
      </c>
      <c r="K9" s="799" t="s">
        <v>224</v>
      </c>
      <c r="L9" s="799" t="s">
        <v>202</v>
      </c>
      <c r="M9" s="800" t="s">
        <v>142</v>
      </c>
      <c r="N9" s="800" t="s">
        <v>225</v>
      </c>
      <c r="O9" s="800" t="s">
        <v>146</v>
      </c>
      <c r="P9" s="800" t="s">
        <v>355</v>
      </c>
      <c r="Q9" s="800" t="s">
        <v>150</v>
      </c>
      <c r="R9" s="1596"/>
      <c r="S9" s="1602"/>
      <c r="T9" s="1600"/>
      <c r="U9" s="643"/>
      <c r="V9" s="637"/>
      <c r="W9" s="637"/>
      <c r="X9" s="637"/>
      <c r="Y9" s="637"/>
      <c r="Z9" s="637"/>
      <c r="AA9" s="637"/>
      <c r="AB9" s="637"/>
      <c r="AC9" s="637"/>
      <c r="AD9" s="637"/>
      <c r="AE9" s="637"/>
      <c r="AF9" s="637"/>
      <c r="AG9" s="637"/>
      <c r="AH9" s="637"/>
      <c r="AI9" s="637"/>
      <c r="AJ9" s="637"/>
    </row>
    <row r="10" spans="1:20" ht="16.5" customHeight="1">
      <c r="A10" s="1612" t="s">
        <v>6</v>
      </c>
      <c r="B10" s="1613"/>
      <c r="C10" s="801">
        <v>1</v>
      </c>
      <c r="D10" s="802">
        <v>2</v>
      </c>
      <c r="E10" s="802">
        <v>3</v>
      </c>
      <c r="F10" s="802">
        <v>4</v>
      </c>
      <c r="G10" s="802">
        <v>5</v>
      </c>
      <c r="H10" s="801">
        <v>6</v>
      </c>
      <c r="I10" s="801">
        <v>7</v>
      </c>
      <c r="J10" s="802">
        <v>8</v>
      </c>
      <c r="K10" s="802">
        <v>9</v>
      </c>
      <c r="L10" s="802" t="s">
        <v>101</v>
      </c>
      <c r="M10" s="802" t="s">
        <v>102</v>
      </c>
      <c r="N10" s="802" t="s">
        <v>103</v>
      </c>
      <c r="O10" s="802" t="s">
        <v>104</v>
      </c>
      <c r="P10" s="802" t="s">
        <v>105</v>
      </c>
      <c r="Q10" s="802" t="s">
        <v>357</v>
      </c>
      <c r="R10" s="801" t="s">
        <v>358</v>
      </c>
      <c r="S10" s="801" t="s">
        <v>359</v>
      </c>
      <c r="T10" s="803" t="s">
        <v>360</v>
      </c>
    </row>
    <row r="11" spans="1:21" s="879" customFormat="1" ht="29.25" customHeight="1">
      <c r="A11" s="1604" t="s">
        <v>37</v>
      </c>
      <c r="B11" s="1605"/>
      <c r="C11" s="877">
        <f aca="true" t="shared" si="0" ref="C11:R11">C12+C30</f>
        <v>4551083449</v>
      </c>
      <c r="D11" s="870">
        <f t="shared" si="0"/>
        <v>3387427825</v>
      </c>
      <c r="E11" s="870">
        <f t="shared" si="0"/>
        <v>1163655624</v>
      </c>
      <c r="F11" s="870">
        <f t="shared" si="0"/>
        <v>333883421</v>
      </c>
      <c r="G11" s="870">
        <f t="shared" si="0"/>
        <v>41129416</v>
      </c>
      <c r="H11" s="877">
        <f t="shared" si="0"/>
        <v>4217200028</v>
      </c>
      <c r="I11" s="877">
        <f t="shared" si="0"/>
        <v>3060087730</v>
      </c>
      <c r="J11" s="870">
        <f t="shared" si="0"/>
        <v>455165909</v>
      </c>
      <c r="K11" s="870">
        <f t="shared" si="0"/>
        <v>566999251</v>
      </c>
      <c r="L11" s="870">
        <f t="shared" si="0"/>
        <v>34448</v>
      </c>
      <c r="M11" s="870">
        <f t="shared" si="0"/>
        <v>1980033079</v>
      </c>
      <c r="N11" s="870">
        <f t="shared" si="0"/>
        <v>15121353</v>
      </c>
      <c r="O11" s="870">
        <f t="shared" si="0"/>
        <v>37559191</v>
      </c>
      <c r="P11" s="870">
        <f t="shared" si="0"/>
        <v>0</v>
      </c>
      <c r="Q11" s="870">
        <f t="shared" si="0"/>
        <v>5174499</v>
      </c>
      <c r="R11" s="877">
        <f t="shared" si="0"/>
        <v>1157112298</v>
      </c>
      <c r="S11" s="871">
        <f>SUM(M11:R11)</f>
        <v>3195000420</v>
      </c>
      <c r="T11" s="872">
        <f>SUM(J11:L11)/I11*100</f>
        <v>33.40425824981168</v>
      </c>
      <c r="U11" s="878"/>
    </row>
    <row r="12" spans="1:21" s="874" customFormat="1" ht="31.5" customHeight="1">
      <c r="A12" s="868" t="s">
        <v>0</v>
      </c>
      <c r="B12" s="869" t="s">
        <v>98</v>
      </c>
      <c r="C12" s="877">
        <f aca="true" t="shared" si="1" ref="C12:R12">SUM(C13:C29)</f>
        <v>1227749183</v>
      </c>
      <c r="D12" s="870">
        <f t="shared" si="1"/>
        <v>979878620</v>
      </c>
      <c r="E12" s="870">
        <f t="shared" si="1"/>
        <v>247870563</v>
      </c>
      <c r="F12" s="870">
        <f t="shared" si="1"/>
        <v>248914371</v>
      </c>
      <c r="G12" s="870">
        <f t="shared" si="1"/>
        <v>0</v>
      </c>
      <c r="H12" s="877">
        <f t="shared" si="1"/>
        <v>978834812</v>
      </c>
      <c r="I12" s="877">
        <f t="shared" si="1"/>
        <v>884110858</v>
      </c>
      <c r="J12" s="870">
        <f t="shared" si="1"/>
        <v>144482965</v>
      </c>
      <c r="K12" s="870">
        <f t="shared" si="1"/>
        <v>35748374</v>
      </c>
      <c r="L12" s="870">
        <f t="shared" si="1"/>
        <v>0</v>
      </c>
      <c r="M12" s="870">
        <f t="shared" si="1"/>
        <v>664846937</v>
      </c>
      <c r="N12" s="870">
        <f t="shared" si="1"/>
        <v>13965888</v>
      </c>
      <c r="O12" s="870">
        <f t="shared" si="1"/>
        <v>25066694</v>
      </c>
      <c r="P12" s="870">
        <f t="shared" si="1"/>
        <v>0</v>
      </c>
      <c r="Q12" s="870">
        <f t="shared" si="1"/>
        <v>0</v>
      </c>
      <c r="R12" s="877">
        <f t="shared" si="1"/>
        <v>94723954</v>
      </c>
      <c r="S12" s="871">
        <f aca="true" t="shared" si="2" ref="S12:S75">SUM(M12:R12)</f>
        <v>798603473</v>
      </c>
      <c r="T12" s="872">
        <f aca="true" t="shared" si="3" ref="T12:T75">SUM(J12:L12)/I12*100</f>
        <v>20.38560406414554</v>
      </c>
      <c r="U12" s="873"/>
    </row>
    <row r="13" spans="1:21" s="668" customFormat="1" ht="31.5" customHeight="1">
      <c r="A13" s="808" t="s">
        <v>54</v>
      </c>
      <c r="B13" s="809" t="s">
        <v>681</v>
      </c>
      <c r="C13" s="810">
        <f>D13+E13</f>
        <v>5936632</v>
      </c>
      <c r="D13" s="811">
        <v>5804032</v>
      </c>
      <c r="E13" s="810">
        <v>132600</v>
      </c>
      <c r="F13" s="810"/>
      <c r="G13" s="810"/>
      <c r="H13" s="810">
        <f>I13+R13</f>
        <v>5936632</v>
      </c>
      <c r="I13" s="810">
        <f>SUM(J13:Q13)</f>
        <v>5936632</v>
      </c>
      <c r="J13" s="810">
        <f>148202+2000+2000+977201</f>
        <v>1129403</v>
      </c>
      <c r="K13" s="810"/>
      <c r="L13" s="810"/>
      <c r="M13" s="810">
        <f>5788430-2000-2000-977201</f>
        <v>4807229</v>
      </c>
      <c r="N13" s="810"/>
      <c r="O13" s="810"/>
      <c r="P13" s="810"/>
      <c r="Q13" s="810"/>
      <c r="R13" s="810"/>
      <c r="S13" s="805">
        <f t="shared" si="2"/>
        <v>4807229</v>
      </c>
      <c r="T13" s="806">
        <f t="shared" si="3"/>
        <v>19.024305363714646</v>
      </c>
      <c r="U13" s="667"/>
    </row>
    <row r="14" spans="1:21" s="668" customFormat="1" ht="31.5" customHeight="1">
      <c r="A14" s="808" t="s">
        <v>55</v>
      </c>
      <c r="B14" s="809" t="s">
        <v>682</v>
      </c>
      <c r="C14" s="810">
        <f aca="true" t="shared" si="4" ref="C14:C29">D14+E14</f>
        <v>1212847</v>
      </c>
      <c r="D14" s="811">
        <v>5150</v>
      </c>
      <c r="E14" s="810">
        <v>1207697</v>
      </c>
      <c r="F14" s="810"/>
      <c r="G14" s="810"/>
      <c r="H14" s="810">
        <f aca="true" t="shared" si="5" ref="H14:H29">I14+R14</f>
        <v>1212847</v>
      </c>
      <c r="I14" s="810">
        <f aca="true" t="shared" si="6" ref="I14:I29">SUM(J14:Q14)</f>
        <v>1212847</v>
      </c>
      <c r="J14" s="810">
        <f>1205495+1702</f>
        <v>1207197</v>
      </c>
      <c r="K14" s="810"/>
      <c r="L14" s="810"/>
      <c r="M14" s="810">
        <f>7352-1702</f>
        <v>5650</v>
      </c>
      <c r="N14" s="810"/>
      <c r="O14" s="810"/>
      <c r="P14" s="810"/>
      <c r="Q14" s="810"/>
      <c r="R14" s="810"/>
      <c r="S14" s="805">
        <f t="shared" si="2"/>
        <v>5650</v>
      </c>
      <c r="T14" s="806">
        <f t="shared" si="3"/>
        <v>99.5341539369764</v>
      </c>
      <c r="U14" s="667"/>
    </row>
    <row r="15" spans="1:21" s="668" customFormat="1" ht="31.5" customHeight="1">
      <c r="A15" s="808" t="s">
        <v>141</v>
      </c>
      <c r="B15" s="809" t="s">
        <v>680</v>
      </c>
      <c r="C15" s="810">
        <f>D15+E15</f>
        <v>24400</v>
      </c>
      <c r="D15" s="811">
        <v>100</v>
      </c>
      <c r="E15" s="810">
        <f>400+1300+1100+1500+20000</f>
        <v>24300</v>
      </c>
      <c r="F15" s="810"/>
      <c r="G15" s="810"/>
      <c r="H15" s="810">
        <f t="shared" si="5"/>
        <v>24400</v>
      </c>
      <c r="I15" s="810">
        <f t="shared" si="6"/>
        <v>24400</v>
      </c>
      <c r="J15" s="810">
        <f>2700+1500+20000</f>
        <v>24200</v>
      </c>
      <c r="K15" s="810"/>
      <c r="L15" s="810"/>
      <c r="M15" s="810">
        <v>200</v>
      </c>
      <c r="N15" s="810"/>
      <c r="O15" s="810"/>
      <c r="P15" s="810"/>
      <c r="Q15" s="810"/>
      <c r="R15" s="810"/>
      <c r="S15" s="805">
        <f t="shared" si="2"/>
        <v>200</v>
      </c>
      <c r="T15" s="806">
        <f t="shared" si="3"/>
        <v>99.18032786885246</v>
      </c>
      <c r="U15" s="667"/>
    </row>
    <row r="16" spans="1:21" s="668" customFormat="1" ht="31.5" customHeight="1">
      <c r="A16" s="808" t="s">
        <v>143</v>
      </c>
      <c r="B16" s="809" t="s">
        <v>777</v>
      </c>
      <c r="C16" s="810">
        <f t="shared" si="4"/>
        <v>38205777</v>
      </c>
      <c r="D16" s="811">
        <v>290009</v>
      </c>
      <c r="E16" s="810">
        <f>283209+32274218+5355491+850+850+1150</f>
        <v>37915768</v>
      </c>
      <c r="F16" s="810">
        <v>410765</v>
      </c>
      <c r="G16" s="810"/>
      <c r="H16" s="810">
        <f t="shared" si="5"/>
        <v>37795012</v>
      </c>
      <c r="I16" s="810">
        <f t="shared" si="6"/>
        <v>37795012</v>
      </c>
      <c r="J16" s="810">
        <f>114600+850+850+1150</f>
        <v>117450</v>
      </c>
      <c r="K16" s="810"/>
      <c r="L16" s="810"/>
      <c r="M16" s="810">
        <f>7255377+5355491</f>
        <v>12610868</v>
      </c>
      <c r="N16" s="810"/>
      <c r="O16" s="810">
        <v>25066694</v>
      </c>
      <c r="P16" s="810"/>
      <c r="Q16" s="810"/>
      <c r="R16" s="810"/>
      <c r="S16" s="805">
        <f t="shared" si="2"/>
        <v>37677562</v>
      </c>
      <c r="T16" s="806">
        <f t="shared" si="3"/>
        <v>0.31075529225920073</v>
      </c>
      <c r="U16" s="667"/>
    </row>
    <row r="17" spans="1:21" s="668" customFormat="1" ht="31.5" customHeight="1">
      <c r="A17" s="808" t="s">
        <v>145</v>
      </c>
      <c r="B17" s="809" t="s">
        <v>683</v>
      </c>
      <c r="C17" s="810">
        <f t="shared" si="4"/>
        <v>3945758</v>
      </c>
      <c r="D17" s="811">
        <v>3713115</v>
      </c>
      <c r="E17" s="810">
        <f>186778+45865</f>
        <v>232643</v>
      </c>
      <c r="F17" s="810"/>
      <c r="G17" s="810"/>
      <c r="H17" s="810">
        <f t="shared" si="5"/>
        <v>3945758</v>
      </c>
      <c r="I17" s="810">
        <f t="shared" si="6"/>
        <v>3918236</v>
      </c>
      <c r="J17" s="810">
        <f>101534+20320+45130</f>
        <v>166984</v>
      </c>
      <c r="K17" s="810"/>
      <c r="L17" s="812"/>
      <c r="M17" s="812">
        <f>3770837-20320+735</f>
        <v>3751252</v>
      </c>
      <c r="N17" s="813"/>
      <c r="O17" s="813"/>
      <c r="P17" s="813"/>
      <c r="Q17" s="813"/>
      <c r="R17" s="813">
        <v>27522</v>
      </c>
      <c r="S17" s="805">
        <f t="shared" si="2"/>
        <v>3778774</v>
      </c>
      <c r="T17" s="806">
        <f t="shared" si="3"/>
        <v>4.261713689527634</v>
      </c>
      <c r="U17" s="667"/>
    </row>
    <row r="18" spans="1:21" s="668" customFormat="1" ht="31.5" customHeight="1">
      <c r="A18" s="808" t="s">
        <v>147</v>
      </c>
      <c r="B18" s="809" t="s">
        <v>684</v>
      </c>
      <c r="C18" s="810">
        <f t="shared" si="4"/>
        <v>46453621</v>
      </c>
      <c r="D18" s="811">
        <v>42638111</v>
      </c>
      <c r="E18" s="813">
        <v>3815510</v>
      </c>
      <c r="F18" s="810">
        <v>443500</v>
      </c>
      <c r="G18" s="813"/>
      <c r="H18" s="810">
        <f t="shared" si="5"/>
        <v>46010121</v>
      </c>
      <c r="I18" s="810">
        <f t="shared" si="6"/>
        <v>15780325</v>
      </c>
      <c r="J18" s="813">
        <v>1408973</v>
      </c>
      <c r="K18" s="813">
        <v>6736441</v>
      </c>
      <c r="L18" s="813"/>
      <c r="M18" s="813">
        <v>7634911</v>
      </c>
      <c r="N18" s="812"/>
      <c r="O18" s="813"/>
      <c r="P18" s="813"/>
      <c r="Q18" s="813"/>
      <c r="R18" s="813">
        <f>30116896+112900</f>
        <v>30229796</v>
      </c>
      <c r="S18" s="805">
        <f t="shared" si="2"/>
        <v>37864707</v>
      </c>
      <c r="T18" s="806">
        <f t="shared" si="3"/>
        <v>51.61753005720732</v>
      </c>
      <c r="U18" s="667"/>
    </row>
    <row r="19" spans="1:21" s="668" customFormat="1" ht="31.5" customHeight="1">
      <c r="A19" s="808" t="s">
        <v>149</v>
      </c>
      <c r="B19" s="809" t="s">
        <v>685</v>
      </c>
      <c r="C19" s="810">
        <f t="shared" si="4"/>
        <v>24946155</v>
      </c>
      <c r="D19" s="811">
        <v>24794073</v>
      </c>
      <c r="E19" s="813">
        <v>152082</v>
      </c>
      <c r="F19" s="810"/>
      <c r="G19" s="813"/>
      <c r="H19" s="810">
        <f t="shared" si="5"/>
        <v>24946155</v>
      </c>
      <c r="I19" s="810">
        <f t="shared" si="6"/>
        <v>24816549</v>
      </c>
      <c r="J19" s="813">
        <v>26800</v>
      </c>
      <c r="K19" s="813"/>
      <c r="L19" s="813"/>
      <c r="M19" s="813">
        <v>24789749</v>
      </c>
      <c r="N19" s="812"/>
      <c r="O19" s="813"/>
      <c r="P19" s="813"/>
      <c r="Q19" s="813"/>
      <c r="R19" s="813">
        <v>129606</v>
      </c>
      <c r="S19" s="805">
        <f t="shared" si="2"/>
        <v>24919355</v>
      </c>
      <c r="T19" s="806">
        <f t="shared" si="3"/>
        <v>0.1079924529393672</v>
      </c>
      <c r="U19" s="667"/>
    </row>
    <row r="20" spans="1:21" s="668" customFormat="1" ht="31.5" customHeight="1">
      <c r="A20" s="808" t="s">
        <v>186</v>
      </c>
      <c r="B20" s="809" t="s">
        <v>686</v>
      </c>
      <c r="C20" s="810">
        <f t="shared" si="4"/>
        <v>349577</v>
      </c>
      <c r="D20" s="811">
        <v>147000</v>
      </c>
      <c r="E20" s="813">
        <f>149490+53087</f>
        <v>202577</v>
      </c>
      <c r="F20" s="810">
        <v>1200</v>
      </c>
      <c r="G20" s="813"/>
      <c r="H20" s="810">
        <f t="shared" si="5"/>
        <v>348377</v>
      </c>
      <c r="I20" s="810">
        <f t="shared" si="6"/>
        <v>348377</v>
      </c>
      <c r="J20" s="813">
        <f>4400+39600+14100</f>
        <v>58100</v>
      </c>
      <c r="K20" s="813"/>
      <c r="L20" s="813"/>
      <c r="M20" s="813">
        <f>292090-40800+38987</f>
        <v>290277</v>
      </c>
      <c r="N20" s="812"/>
      <c r="O20" s="813"/>
      <c r="P20" s="813"/>
      <c r="Q20" s="813"/>
      <c r="R20" s="813"/>
      <c r="S20" s="805">
        <f t="shared" si="2"/>
        <v>290277</v>
      </c>
      <c r="T20" s="806">
        <f t="shared" si="3"/>
        <v>16.677335185732698</v>
      </c>
      <c r="U20" s="667"/>
    </row>
    <row r="21" spans="1:21" s="668" customFormat="1" ht="31.5" customHeight="1">
      <c r="A21" s="808" t="s">
        <v>575</v>
      </c>
      <c r="B21" s="809" t="s">
        <v>688</v>
      </c>
      <c r="C21" s="810">
        <f t="shared" si="4"/>
        <v>119920446</v>
      </c>
      <c r="D21" s="811">
        <v>117342215</v>
      </c>
      <c r="E21" s="813">
        <v>2578231</v>
      </c>
      <c r="F21" s="810">
        <v>119777</v>
      </c>
      <c r="G21" s="813"/>
      <c r="H21" s="810">
        <f t="shared" si="5"/>
        <v>119800669</v>
      </c>
      <c r="I21" s="810">
        <f t="shared" si="6"/>
        <v>119800669</v>
      </c>
      <c r="J21" s="813">
        <v>6572475</v>
      </c>
      <c r="K21" s="813"/>
      <c r="L21" s="813"/>
      <c r="M21" s="813">
        <v>113228194</v>
      </c>
      <c r="N21" s="812"/>
      <c r="O21" s="813"/>
      <c r="P21" s="813"/>
      <c r="Q21" s="813"/>
      <c r="R21" s="813"/>
      <c r="S21" s="805">
        <f t="shared" si="2"/>
        <v>113228194</v>
      </c>
      <c r="T21" s="806">
        <f t="shared" si="3"/>
        <v>5.486175540472149</v>
      </c>
      <c r="U21" s="667"/>
    </row>
    <row r="22" spans="1:21" s="668" customFormat="1" ht="31.5" customHeight="1">
      <c r="A22" s="808" t="s">
        <v>687</v>
      </c>
      <c r="B22" s="809" t="s">
        <v>690</v>
      </c>
      <c r="C22" s="810">
        <f t="shared" si="4"/>
        <v>44269040</v>
      </c>
      <c r="D22" s="811">
        <v>44163310</v>
      </c>
      <c r="E22" s="813">
        <v>105730</v>
      </c>
      <c r="F22" s="810"/>
      <c r="G22" s="813"/>
      <c r="H22" s="810">
        <f t="shared" si="5"/>
        <v>44269040</v>
      </c>
      <c r="I22" s="810">
        <f t="shared" si="6"/>
        <v>44269040</v>
      </c>
      <c r="J22" s="813">
        <v>4517196</v>
      </c>
      <c r="K22" s="813"/>
      <c r="L22" s="813"/>
      <c r="M22" s="813">
        <v>39751844</v>
      </c>
      <c r="N22" s="812"/>
      <c r="O22" s="813"/>
      <c r="P22" s="813"/>
      <c r="Q22" s="813"/>
      <c r="R22" s="813"/>
      <c r="S22" s="805">
        <f t="shared" si="2"/>
        <v>39751844</v>
      </c>
      <c r="T22" s="806">
        <f t="shared" si="3"/>
        <v>10.203961956256562</v>
      </c>
      <c r="U22" s="667"/>
    </row>
    <row r="23" spans="1:21" s="668" customFormat="1" ht="31.5" customHeight="1">
      <c r="A23" s="808" t="s">
        <v>689</v>
      </c>
      <c r="B23" s="809" t="s">
        <v>820</v>
      </c>
      <c r="C23" s="810">
        <f t="shared" si="4"/>
        <v>35528114</v>
      </c>
      <c r="D23" s="811">
        <v>17088954</v>
      </c>
      <c r="E23" s="813">
        <v>18439160</v>
      </c>
      <c r="F23" s="810">
        <v>2201622</v>
      </c>
      <c r="G23" s="813"/>
      <c r="H23" s="810">
        <f t="shared" si="5"/>
        <v>33326492</v>
      </c>
      <c r="I23" s="810">
        <f t="shared" si="6"/>
        <v>33318952</v>
      </c>
      <c r="J23" s="813">
        <v>6516760</v>
      </c>
      <c r="K23" s="813"/>
      <c r="L23" s="813"/>
      <c r="M23" s="813">
        <v>12836304</v>
      </c>
      <c r="N23" s="812">
        <v>13965888</v>
      </c>
      <c r="O23" s="813"/>
      <c r="P23" s="813"/>
      <c r="Q23" s="813"/>
      <c r="R23" s="813">
        <v>7540</v>
      </c>
      <c r="S23" s="805">
        <f t="shared" si="2"/>
        <v>26809732</v>
      </c>
      <c r="T23" s="806">
        <f t="shared" si="3"/>
        <v>19.55871841347231</v>
      </c>
      <c r="U23" s="667"/>
    </row>
    <row r="24" spans="1:21" s="668" customFormat="1" ht="31.5" customHeight="1">
      <c r="A24" s="808" t="s">
        <v>691</v>
      </c>
      <c r="B24" s="809" t="s">
        <v>821</v>
      </c>
      <c r="C24" s="810">
        <f t="shared" si="4"/>
        <v>444689453</v>
      </c>
      <c r="D24" s="813">
        <v>294361538</v>
      </c>
      <c r="E24" s="813">
        <v>150327915</v>
      </c>
      <c r="F24" s="810">
        <v>234513309</v>
      </c>
      <c r="G24" s="813"/>
      <c r="H24" s="810">
        <f t="shared" si="5"/>
        <v>210176144</v>
      </c>
      <c r="I24" s="810">
        <f t="shared" si="6"/>
        <v>207628123</v>
      </c>
      <c r="J24" s="813">
        <v>119009881</v>
      </c>
      <c r="K24" s="813"/>
      <c r="L24" s="813"/>
      <c r="M24" s="813">
        <v>88618242</v>
      </c>
      <c r="N24" s="812"/>
      <c r="O24" s="813"/>
      <c r="P24" s="813"/>
      <c r="Q24" s="813"/>
      <c r="R24" s="813">
        <v>2548021</v>
      </c>
      <c r="S24" s="805">
        <f t="shared" si="2"/>
        <v>91166263</v>
      </c>
      <c r="T24" s="806">
        <f t="shared" si="3"/>
        <v>57.31876745810586</v>
      </c>
      <c r="U24" s="667"/>
    </row>
    <row r="25" spans="1:21" s="668" customFormat="1" ht="31.5" customHeight="1">
      <c r="A25" s="808" t="s">
        <v>692</v>
      </c>
      <c r="B25" s="809" t="s">
        <v>694</v>
      </c>
      <c r="C25" s="814">
        <f>D25+E25</f>
        <v>437800840</v>
      </c>
      <c r="D25" s="810">
        <v>421345804</v>
      </c>
      <c r="E25" s="814">
        <f>16182076+166114+106846</f>
        <v>16455036</v>
      </c>
      <c r="F25" s="814">
        <f>12859+19200</f>
        <v>32059</v>
      </c>
      <c r="G25" s="814"/>
      <c r="H25" s="814">
        <f>I25+R25</f>
        <v>437768781</v>
      </c>
      <c r="I25" s="814">
        <f>SUM(J25:Q25)</f>
        <v>381367299</v>
      </c>
      <c r="J25" s="814">
        <f>241820+107745+109146</f>
        <v>458711</v>
      </c>
      <c r="K25" s="814">
        <v>28969216</v>
      </c>
      <c r="L25" s="815"/>
      <c r="M25" s="815">
        <f>408084503+39169-2300-56182000</f>
        <v>351939372</v>
      </c>
      <c r="N25" s="816">
        <v>0</v>
      </c>
      <c r="O25" s="816">
        <v>0</v>
      </c>
      <c r="P25" s="816"/>
      <c r="Q25" s="816"/>
      <c r="R25" s="816">
        <f>219482+56182000</f>
        <v>56401482</v>
      </c>
      <c r="S25" s="805">
        <f t="shared" si="2"/>
        <v>408340854</v>
      </c>
      <c r="T25" s="806">
        <f t="shared" si="3"/>
        <v>7.716426415469881</v>
      </c>
      <c r="U25" s="667"/>
    </row>
    <row r="26" spans="1:21" s="668" customFormat="1" ht="31.5" customHeight="1">
      <c r="A26" s="808" t="s">
        <v>693</v>
      </c>
      <c r="B26" s="809" t="s">
        <v>696</v>
      </c>
      <c r="C26" s="810">
        <f>D26+E26</f>
        <v>12652761</v>
      </c>
      <c r="D26" s="817">
        <v>2517346</v>
      </c>
      <c r="E26" s="810">
        <f>9940103+1700+193612</f>
        <v>10135415</v>
      </c>
      <c r="F26" s="810">
        <v>7609520</v>
      </c>
      <c r="G26" s="810"/>
      <c r="H26" s="810">
        <f>I26+R26</f>
        <v>5043241</v>
      </c>
      <c r="I26" s="810">
        <f>SUM(J26:Q26)</f>
        <v>5043241</v>
      </c>
      <c r="J26" s="810">
        <f>1974691+6250+121991</f>
        <v>2102932</v>
      </c>
      <c r="K26" s="810"/>
      <c r="L26" s="812"/>
      <c r="M26" s="812">
        <f>2873238-4550+71621</f>
        <v>2940309</v>
      </c>
      <c r="N26" s="812"/>
      <c r="O26" s="818"/>
      <c r="P26" s="818"/>
      <c r="Q26" s="818"/>
      <c r="R26" s="818"/>
      <c r="S26" s="805">
        <f t="shared" si="2"/>
        <v>2940309</v>
      </c>
      <c r="T26" s="806">
        <f t="shared" si="3"/>
        <v>41.69802712184486</v>
      </c>
      <c r="U26" s="667"/>
    </row>
    <row r="27" spans="1:21" s="668" customFormat="1" ht="31.5" customHeight="1">
      <c r="A27" s="808" t="s">
        <v>695</v>
      </c>
      <c r="B27" s="809" t="s">
        <v>698</v>
      </c>
      <c r="C27" s="810">
        <f t="shared" si="4"/>
        <v>2924056</v>
      </c>
      <c r="D27" s="811">
        <v>421274</v>
      </c>
      <c r="E27" s="810">
        <v>2502782</v>
      </c>
      <c r="F27" s="810">
        <v>976354</v>
      </c>
      <c r="G27" s="810"/>
      <c r="H27" s="810">
        <f t="shared" si="5"/>
        <v>1947702</v>
      </c>
      <c r="I27" s="810">
        <f t="shared" si="6"/>
        <v>1922702</v>
      </c>
      <c r="J27" s="810">
        <v>720864</v>
      </c>
      <c r="K27" s="810"/>
      <c r="L27" s="812"/>
      <c r="M27" s="812">
        <v>1201838</v>
      </c>
      <c r="N27" s="812"/>
      <c r="O27" s="813"/>
      <c r="P27" s="813"/>
      <c r="Q27" s="813"/>
      <c r="R27" s="813">
        <v>25000</v>
      </c>
      <c r="S27" s="805">
        <f t="shared" si="2"/>
        <v>1226838</v>
      </c>
      <c r="T27" s="806">
        <f t="shared" si="3"/>
        <v>37.49223748662039</v>
      </c>
      <c r="U27" s="667"/>
    </row>
    <row r="28" spans="1:21" s="668" customFormat="1" ht="31.5" customHeight="1">
      <c r="A28" s="808" t="s">
        <v>697</v>
      </c>
      <c r="B28" s="809" t="s">
        <v>700</v>
      </c>
      <c r="C28" s="810">
        <f t="shared" si="4"/>
        <v>5819989</v>
      </c>
      <c r="D28" s="810">
        <v>5222389</v>
      </c>
      <c r="E28" s="810">
        <v>597600</v>
      </c>
      <c r="F28" s="810">
        <v>122800</v>
      </c>
      <c r="G28" s="810"/>
      <c r="H28" s="810">
        <f t="shared" si="5"/>
        <v>5697189</v>
      </c>
      <c r="I28" s="810">
        <f t="shared" si="6"/>
        <v>521125</v>
      </c>
      <c r="J28" s="810">
        <v>190156</v>
      </c>
      <c r="K28" s="810">
        <v>0</v>
      </c>
      <c r="L28" s="812">
        <v>0</v>
      </c>
      <c r="M28" s="812">
        <v>330969</v>
      </c>
      <c r="N28" s="812"/>
      <c r="O28" s="813"/>
      <c r="P28" s="813"/>
      <c r="Q28" s="813"/>
      <c r="R28" s="813">
        <v>5176064</v>
      </c>
      <c r="S28" s="805">
        <f t="shared" si="2"/>
        <v>5507033</v>
      </c>
      <c r="T28" s="806">
        <f t="shared" si="3"/>
        <v>36.4895178699928</v>
      </c>
      <c r="U28" s="667"/>
    </row>
    <row r="29" spans="1:21" s="668" customFormat="1" ht="31.5" customHeight="1">
      <c r="A29" s="808" t="s">
        <v>699</v>
      </c>
      <c r="B29" s="809" t="s">
        <v>822</v>
      </c>
      <c r="C29" s="810">
        <f t="shared" si="4"/>
        <v>3069717</v>
      </c>
      <c r="D29" s="819">
        <v>24200</v>
      </c>
      <c r="E29" s="810">
        <v>3045517</v>
      </c>
      <c r="F29" s="810">
        <v>2483465</v>
      </c>
      <c r="G29" s="810"/>
      <c r="H29" s="810">
        <f t="shared" si="5"/>
        <v>586252</v>
      </c>
      <c r="I29" s="810">
        <f t="shared" si="6"/>
        <v>407329</v>
      </c>
      <c r="J29" s="810">
        <v>254883</v>
      </c>
      <c r="K29" s="810">
        <v>42717</v>
      </c>
      <c r="L29" s="812"/>
      <c r="M29" s="812">
        <v>109729</v>
      </c>
      <c r="N29" s="812"/>
      <c r="O29" s="813"/>
      <c r="P29" s="813"/>
      <c r="Q29" s="813"/>
      <c r="R29" s="813">
        <f>66336+52324+60263</f>
        <v>178923</v>
      </c>
      <c r="S29" s="805">
        <f t="shared" si="2"/>
        <v>288652</v>
      </c>
      <c r="T29" s="806">
        <f t="shared" si="3"/>
        <v>73.06133371304277</v>
      </c>
      <c r="U29" s="667"/>
    </row>
    <row r="30" spans="1:21" s="874" customFormat="1" ht="24" customHeight="1">
      <c r="A30" s="868" t="s">
        <v>1</v>
      </c>
      <c r="B30" s="869" t="s">
        <v>701</v>
      </c>
      <c r="C30" s="870">
        <f aca="true" t="shared" si="7" ref="C30:R30">C31+C37+C41+C44+C46+C54+C60+C67+C71+C75+C85+C88+C92+C104+C107</f>
        <v>3323334266</v>
      </c>
      <c r="D30" s="870">
        <f t="shared" si="7"/>
        <v>2407549205</v>
      </c>
      <c r="E30" s="870">
        <f t="shared" si="7"/>
        <v>915785061</v>
      </c>
      <c r="F30" s="870">
        <f t="shared" si="7"/>
        <v>84969050</v>
      </c>
      <c r="G30" s="870">
        <f t="shared" si="7"/>
        <v>41129416</v>
      </c>
      <c r="H30" s="870">
        <f t="shared" si="7"/>
        <v>3238365216</v>
      </c>
      <c r="I30" s="870">
        <f t="shared" si="7"/>
        <v>2175976872</v>
      </c>
      <c r="J30" s="870">
        <f t="shared" si="7"/>
        <v>310682944</v>
      </c>
      <c r="K30" s="870">
        <f t="shared" si="7"/>
        <v>531250877</v>
      </c>
      <c r="L30" s="870">
        <f t="shared" si="7"/>
        <v>34448</v>
      </c>
      <c r="M30" s="870">
        <f t="shared" si="7"/>
        <v>1315186142</v>
      </c>
      <c r="N30" s="870">
        <f t="shared" si="7"/>
        <v>1155465</v>
      </c>
      <c r="O30" s="870">
        <f t="shared" si="7"/>
        <v>12492497</v>
      </c>
      <c r="P30" s="870">
        <f t="shared" si="7"/>
        <v>0</v>
      </c>
      <c r="Q30" s="870">
        <f t="shared" si="7"/>
        <v>5174499</v>
      </c>
      <c r="R30" s="870">
        <f t="shared" si="7"/>
        <v>1062388344</v>
      </c>
      <c r="S30" s="871">
        <f t="shared" si="2"/>
        <v>2396396947</v>
      </c>
      <c r="T30" s="872">
        <f t="shared" si="3"/>
        <v>38.6938059790187</v>
      </c>
      <c r="U30" s="873"/>
    </row>
    <row r="31" spans="1:21" s="874" customFormat="1" ht="24" customHeight="1">
      <c r="A31" s="868">
        <v>1</v>
      </c>
      <c r="B31" s="875" t="s">
        <v>702</v>
      </c>
      <c r="C31" s="870">
        <f>SUM(C32:C36)</f>
        <v>339309379</v>
      </c>
      <c r="D31" s="870">
        <f aca="true" t="shared" si="8" ref="D31:R31">SUM(D32:D36)</f>
        <v>232981768</v>
      </c>
      <c r="E31" s="870">
        <f t="shared" si="8"/>
        <v>106327611</v>
      </c>
      <c r="F31" s="870">
        <f t="shared" si="8"/>
        <v>1601343</v>
      </c>
      <c r="G31" s="870">
        <f t="shared" si="8"/>
        <v>0</v>
      </c>
      <c r="H31" s="870">
        <f t="shared" si="8"/>
        <v>337708036</v>
      </c>
      <c r="I31" s="870">
        <f t="shared" si="8"/>
        <v>266217632</v>
      </c>
      <c r="J31" s="870">
        <f t="shared" si="8"/>
        <v>8577384</v>
      </c>
      <c r="K31" s="870">
        <f t="shared" si="8"/>
        <v>10342668</v>
      </c>
      <c r="L31" s="870">
        <f t="shared" si="8"/>
        <v>0</v>
      </c>
      <c r="M31" s="870">
        <f t="shared" si="8"/>
        <v>246786155</v>
      </c>
      <c r="N31" s="870">
        <f t="shared" si="8"/>
        <v>511425</v>
      </c>
      <c r="O31" s="870">
        <f t="shared" si="8"/>
        <v>0</v>
      </c>
      <c r="P31" s="870">
        <f t="shared" si="8"/>
        <v>0</v>
      </c>
      <c r="Q31" s="870">
        <f t="shared" si="8"/>
        <v>0</v>
      </c>
      <c r="R31" s="870">
        <f t="shared" si="8"/>
        <v>71490404</v>
      </c>
      <c r="S31" s="871">
        <f t="shared" si="2"/>
        <v>318787984</v>
      </c>
      <c r="T31" s="872">
        <f t="shared" si="3"/>
        <v>7.106986812954598</v>
      </c>
      <c r="U31" s="873"/>
    </row>
    <row r="32" spans="1:21" s="668" customFormat="1" ht="24" customHeight="1">
      <c r="A32" s="807">
        <v>1.1</v>
      </c>
      <c r="B32" s="820" t="s">
        <v>859</v>
      </c>
      <c r="C32" s="821">
        <f>SUM(E32+D32)</f>
        <v>127995724</v>
      </c>
      <c r="D32" s="809">
        <v>127217244</v>
      </c>
      <c r="E32" s="809">
        <v>778480</v>
      </c>
      <c r="F32" s="809">
        <v>70719</v>
      </c>
      <c r="G32" s="809">
        <v>0</v>
      </c>
      <c r="H32" s="821">
        <f>SUM(I32+R32)</f>
        <v>127925005</v>
      </c>
      <c r="I32" s="821">
        <f>SUM(J32+K32+L32+M32+N32+O32+P32+Q32)</f>
        <v>127560115</v>
      </c>
      <c r="J32" s="809">
        <v>3429631</v>
      </c>
      <c r="K32" s="809">
        <v>2502855</v>
      </c>
      <c r="L32" s="809">
        <v>0</v>
      </c>
      <c r="M32" s="809">
        <v>121627629</v>
      </c>
      <c r="N32" s="809">
        <v>0</v>
      </c>
      <c r="O32" s="809">
        <v>0</v>
      </c>
      <c r="P32" s="809">
        <v>0</v>
      </c>
      <c r="Q32" s="809">
        <v>0</v>
      </c>
      <c r="R32" s="809">
        <v>364890</v>
      </c>
      <c r="S32" s="805">
        <f t="shared" si="2"/>
        <v>121992519</v>
      </c>
      <c r="T32" s="806">
        <f t="shared" si="3"/>
        <v>4.650737418980847</v>
      </c>
      <c r="U32" s="667"/>
    </row>
    <row r="33" spans="1:21" s="668" customFormat="1" ht="24" customHeight="1">
      <c r="A33" s="807">
        <v>1.2</v>
      </c>
      <c r="B33" s="820" t="s">
        <v>823</v>
      </c>
      <c r="C33" s="821">
        <f>SUM(E33+D33)</f>
        <v>120976991</v>
      </c>
      <c r="D33" s="809">
        <v>54063246</v>
      </c>
      <c r="E33" s="809">
        <v>66913745</v>
      </c>
      <c r="F33" s="809">
        <v>5590</v>
      </c>
      <c r="G33" s="809"/>
      <c r="H33" s="821">
        <f>SUM(I33+R33)</f>
        <v>120971401</v>
      </c>
      <c r="I33" s="821">
        <f>SUM(J33+K33+L33+M33+N33+O33+P33+Q33)</f>
        <v>76566167</v>
      </c>
      <c r="J33" s="809">
        <f>2511429-500</f>
        <v>2510929</v>
      </c>
      <c r="K33" s="809">
        <v>2869882</v>
      </c>
      <c r="L33" s="809">
        <v>0</v>
      </c>
      <c r="M33" s="809">
        <f>70673431+500</f>
        <v>70673931</v>
      </c>
      <c r="N33" s="809">
        <v>511425</v>
      </c>
      <c r="O33" s="809"/>
      <c r="P33" s="809"/>
      <c r="Q33" s="809">
        <v>0</v>
      </c>
      <c r="R33" s="809">
        <v>44405234</v>
      </c>
      <c r="S33" s="805">
        <f t="shared" si="2"/>
        <v>115590590</v>
      </c>
      <c r="T33" s="806">
        <f t="shared" si="3"/>
        <v>7.027661447385762</v>
      </c>
      <c r="U33" s="667"/>
    </row>
    <row r="34" spans="1:21" s="668" customFormat="1" ht="24" customHeight="1">
      <c r="A34" s="807">
        <v>1.3</v>
      </c>
      <c r="B34" s="820" t="s">
        <v>703</v>
      </c>
      <c r="C34" s="821">
        <f>SUM(E34+D34)</f>
        <v>18617247</v>
      </c>
      <c r="D34" s="809">
        <v>8071037</v>
      </c>
      <c r="E34" s="809">
        <v>10546210</v>
      </c>
      <c r="F34" s="809">
        <v>51025</v>
      </c>
      <c r="G34" s="809"/>
      <c r="H34" s="821">
        <f>SUM(I34+R34)</f>
        <v>18566222</v>
      </c>
      <c r="I34" s="821">
        <f>SUM(J34+K34+L34+M34+N34+O34+P34+Q34)</f>
        <v>17638415</v>
      </c>
      <c r="J34" s="809">
        <v>503270</v>
      </c>
      <c r="K34" s="809">
        <v>67196</v>
      </c>
      <c r="L34" s="809">
        <v>0</v>
      </c>
      <c r="M34" s="809">
        <v>17067949</v>
      </c>
      <c r="N34" s="809">
        <v>0</v>
      </c>
      <c r="O34" s="809"/>
      <c r="P34" s="809"/>
      <c r="Q34" s="809"/>
      <c r="R34" s="809">
        <v>927807</v>
      </c>
      <c r="S34" s="805">
        <f t="shared" si="2"/>
        <v>17995756</v>
      </c>
      <c r="T34" s="806">
        <f t="shared" si="3"/>
        <v>3.234224843898956</v>
      </c>
      <c r="U34" s="667"/>
    </row>
    <row r="35" spans="1:21" s="668" customFormat="1" ht="24" customHeight="1">
      <c r="A35" s="807">
        <v>1.4</v>
      </c>
      <c r="B35" s="820" t="s">
        <v>824</v>
      </c>
      <c r="C35" s="821">
        <f>SUM(E35+D35)</f>
        <v>19000034</v>
      </c>
      <c r="D35" s="809">
        <v>12359420</v>
      </c>
      <c r="E35" s="809">
        <v>6640614</v>
      </c>
      <c r="F35" s="809">
        <v>1380039</v>
      </c>
      <c r="G35" s="809"/>
      <c r="H35" s="821">
        <f>SUM(I35+R35)</f>
        <v>17619995</v>
      </c>
      <c r="I35" s="821">
        <f>SUM(J35+K35+L35+M35+N35+O35+P35+Q35)</f>
        <v>7398204</v>
      </c>
      <c r="J35" s="809">
        <v>1117530</v>
      </c>
      <c r="K35" s="809">
        <v>380815</v>
      </c>
      <c r="L35" s="809">
        <v>0</v>
      </c>
      <c r="M35" s="809">
        <v>5899859</v>
      </c>
      <c r="N35" s="809">
        <v>0</v>
      </c>
      <c r="O35" s="809"/>
      <c r="P35" s="809"/>
      <c r="Q35" s="809"/>
      <c r="R35" s="809">
        <v>10221791</v>
      </c>
      <c r="S35" s="805">
        <f t="shared" si="2"/>
        <v>16121650</v>
      </c>
      <c r="T35" s="806">
        <f t="shared" si="3"/>
        <v>20.252820819755712</v>
      </c>
      <c r="U35" s="667"/>
    </row>
    <row r="36" spans="1:21" s="668" customFormat="1" ht="24" customHeight="1">
      <c r="A36" s="807">
        <v>1.5</v>
      </c>
      <c r="B36" s="820" t="s">
        <v>764</v>
      </c>
      <c r="C36" s="821">
        <f>SUM(E36+D36)</f>
        <v>52719383</v>
      </c>
      <c r="D36" s="809">
        <v>31270821</v>
      </c>
      <c r="E36" s="809">
        <v>21448562</v>
      </c>
      <c r="F36" s="809">
        <v>93970</v>
      </c>
      <c r="G36" s="809"/>
      <c r="H36" s="821">
        <f>SUM(I36+R36)</f>
        <v>52625413</v>
      </c>
      <c r="I36" s="821">
        <f>SUM(J36+K36+L36+M36+N36+O36+P36+Q36)</f>
        <v>37054731</v>
      </c>
      <c r="J36" s="809">
        <v>1016024</v>
      </c>
      <c r="K36" s="809">
        <v>4521920</v>
      </c>
      <c r="L36" s="809">
        <v>0</v>
      </c>
      <c r="M36" s="809">
        <v>31516787</v>
      </c>
      <c r="N36" s="809">
        <v>0</v>
      </c>
      <c r="O36" s="809"/>
      <c r="P36" s="809"/>
      <c r="Q36" s="809"/>
      <c r="R36" s="809">
        <v>15570682</v>
      </c>
      <c r="S36" s="805">
        <f t="shared" si="2"/>
        <v>47087469</v>
      </c>
      <c r="T36" s="806">
        <f t="shared" si="3"/>
        <v>14.945308872974952</v>
      </c>
      <c r="U36" s="667"/>
    </row>
    <row r="37" spans="1:21" s="874" customFormat="1" ht="24" customHeight="1">
      <c r="A37" s="868">
        <v>2</v>
      </c>
      <c r="B37" s="875" t="s">
        <v>704</v>
      </c>
      <c r="C37" s="870">
        <f aca="true" t="shared" si="9" ref="C37:C46">SUM(E37+D37)</f>
        <v>66105376</v>
      </c>
      <c r="D37" s="870">
        <f aca="true" t="shared" si="10" ref="D37:R37">SUM(D38:D40)</f>
        <v>62577302</v>
      </c>
      <c r="E37" s="870">
        <f t="shared" si="10"/>
        <v>3528074</v>
      </c>
      <c r="F37" s="870">
        <f t="shared" si="10"/>
        <v>129104</v>
      </c>
      <c r="G37" s="870">
        <f t="shared" si="10"/>
        <v>0</v>
      </c>
      <c r="H37" s="870">
        <f aca="true" t="shared" si="11" ref="H37:H46">SUM(I37+R37)</f>
        <v>65976272</v>
      </c>
      <c r="I37" s="870">
        <f aca="true" t="shared" si="12" ref="I37:I46">SUM(J37+K37+L37+M37+N37+O37+P37+Q37)</f>
        <v>24397457</v>
      </c>
      <c r="J37" s="870">
        <f t="shared" si="10"/>
        <v>2466630</v>
      </c>
      <c r="K37" s="870">
        <f t="shared" si="10"/>
        <v>1377323</v>
      </c>
      <c r="L37" s="870">
        <f t="shared" si="10"/>
        <v>7392</v>
      </c>
      <c r="M37" s="870">
        <f t="shared" si="10"/>
        <v>20024272</v>
      </c>
      <c r="N37" s="870">
        <f t="shared" si="10"/>
        <v>0</v>
      </c>
      <c r="O37" s="870">
        <f t="shared" si="10"/>
        <v>0</v>
      </c>
      <c r="P37" s="870">
        <f t="shared" si="10"/>
        <v>0</v>
      </c>
      <c r="Q37" s="870">
        <f t="shared" si="10"/>
        <v>521840</v>
      </c>
      <c r="R37" s="870">
        <f t="shared" si="10"/>
        <v>41578815</v>
      </c>
      <c r="S37" s="871">
        <f t="shared" si="2"/>
        <v>62124927</v>
      </c>
      <c r="T37" s="872">
        <f t="shared" si="3"/>
        <v>15.785846041249298</v>
      </c>
      <c r="U37" s="873"/>
    </row>
    <row r="38" spans="1:21" s="668" customFormat="1" ht="24" customHeight="1">
      <c r="A38" s="807">
        <v>2.1</v>
      </c>
      <c r="B38" s="822" t="s">
        <v>705</v>
      </c>
      <c r="C38" s="823">
        <f>D38+E38</f>
        <v>1608715</v>
      </c>
      <c r="D38" s="823">
        <v>458358</v>
      </c>
      <c r="E38" s="823">
        <v>1150357</v>
      </c>
      <c r="F38" s="823">
        <f>C38-H38</f>
        <v>7141</v>
      </c>
      <c r="G38" s="823"/>
      <c r="H38" s="823">
        <f>I38+R38</f>
        <v>1601574</v>
      </c>
      <c r="I38" s="823">
        <f>J38+K38+L38+M38+N38+O38+P38+Q38</f>
        <v>1366193</v>
      </c>
      <c r="J38" s="823">
        <v>949577</v>
      </c>
      <c r="K38" s="823">
        <v>238357</v>
      </c>
      <c r="L38" s="823">
        <v>0</v>
      </c>
      <c r="M38" s="823">
        <v>178259</v>
      </c>
      <c r="N38" s="823"/>
      <c r="O38" s="823"/>
      <c r="P38" s="823"/>
      <c r="Q38" s="824"/>
      <c r="R38" s="825">
        <v>235381</v>
      </c>
      <c r="S38" s="805">
        <f t="shared" si="2"/>
        <v>413640</v>
      </c>
      <c r="T38" s="806">
        <f t="shared" si="3"/>
        <v>86.95213633798446</v>
      </c>
      <c r="U38" s="667"/>
    </row>
    <row r="39" spans="1:21" s="668" customFormat="1" ht="24" customHeight="1">
      <c r="A39" s="807">
        <v>2.2</v>
      </c>
      <c r="B39" s="822" t="s">
        <v>706</v>
      </c>
      <c r="C39" s="823">
        <f>D39+E39</f>
        <v>12600147</v>
      </c>
      <c r="D39" s="823">
        <v>10761213</v>
      </c>
      <c r="E39" s="823">
        <v>1838934</v>
      </c>
      <c r="F39" s="823">
        <f>C39-H39</f>
        <v>121963</v>
      </c>
      <c r="G39" s="823"/>
      <c r="H39" s="823">
        <f>I39+R39</f>
        <v>12478184</v>
      </c>
      <c r="I39" s="823">
        <f>J39+K39+L39+M39+N39+O39+P39+Q39</f>
        <v>10458120</v>
      </c>
      <c r="J39" s="823">
        <v>955427</v>
      </c>
      <c r="K39" s="823">
        <v>1109508</v>
      </c>
      <c r="L39" s="823">
        <v>1692</v>
      </c>
      <c r="M39" s="823">
        <v>8391493</v>
      </c>
      <c r="N39" s="823"/>
      <c r="O39" s="823"/>
      <c r="P39" s="823"/>
      <c r="Q39" s="824">
        <v>0</v>
      </c>
      <c r="R39" s="825">
        <v>2020064</v>
      </c>
      <c r="S39" s="805">
        <f t="shared" si="2"/>
        <v>10411557</v>
      </c>
      <c r="T39" s="806">
        <f t="shared" si="3"/>
        <v>19.76097998493037</v>
      </c>
      <c r="U39" s="667"/>
    </row>
    <row r="40" spans="1:21" s="668" customFormat="1" ht="24" customHeight="1">
      <c r="A40" s="807">
        <v>2.3</v>
      </c>
      <c r="B40" s="822" t="s">
        <v>707</v>
      </c>
      <c r="C40" s="823">
        <f>D40+E40</f>
        <v>51896514</v>
      </c>
      <c r="D40" s="823">
        <v>51357731</v>
      </c>
      <c r="E40" s="823">
        <v>538783</v>
      </c>
      <c r="F40" s="823"/>
      <c r="G40" s="823"/>
      <c r="H40" s="823">
        <f>I40+R40</f>
        <v>51896514</v>
      </c>
      <c r="I40" s="823">
        <f>J40+K40+L40+M40+N40+O40+P40+Q40</f>
        <v>12573144</v>
      </c>
      <c r="J40" s="823">
        <v>561626</v>
      </c>
      <c r="K40" s="823">
        <v>29458</v>
      </c>
      <c r="L40" s="823">
        <v>5700</v>
      </c>
      <c r="M40" s="823">
        <v>11454520</v>
      </c>
      <c r="N40" s="823"/>
      <c r="O40" s="823"/>
      <c r="P40" s="823"/>
      <c r="Q40" s="824">
        <v>521840</v>
      </c>
      <c r="R40" s="825">
        <v>39323370</v>
      </c>
      <c r="S40" s="805">
        <f t="shared" si="2"/>
        <v>51299730</v>
      </c>
      <c r="T40" s="806">
        <f t="shared" si="3"/>
        <v>4.746497773349291</v>
      </c>
      <c r="U40" s="667"/>
    </row>
    <row r="41" spans="1:21" s="874" customFormat="1" ht="24" customHeight="1">
      <c r="A41" s="868">
        <v>3</v>
      </c>
      <c r="B41" s="875" t="s">
        <v>709</v>
      </c>
      <c r="C41" s="870">
        <f t="shared" si="9"/>
        <v>35182380</v>
      </c>
      <c r="D41" s="870">
        <f aca="true" t="shared" si="13" ref="D41:R41">SUM(D42:D43)</f>
        <v>30730101</v>
      </c>
      <c r="E41" s="870">
        <f t="shared" si="13"/>
        <v>4452279</v>
      </c>
      <c r="F41" s="870">
        <f t="shared" si="13"/>
        <v>134727</v>
      </c>
      <c r="G41" s="870">
        <f t="shared" si="13"/>
        <v>0</v>
      </c>
      <c r="H41" s="870">
        <f t="shared" si="11"/>
        <v>35047653</v>
      </c>
      <c r="I41" s="870">
        <f t="shared" si="12"/>
        <v>33271147</v>
      </c>
      <c r="J41" s="870">
        <f t="shared" si="13"/>
        <v>2470954</v>
      </c>
      <c r="K41" s="870">
        <f t="shared" si="13"/>
        <v>11764736</v>
      </c>
      <c r="L41" s="870">
        <f t="shared" si="13"/>
        <v>0</v>
      </c>
      <c r="M41" s="870">
        <f t="shared" si="13"/>
        <v>18962345</v>
      </c>
      <c r="N41" s="870">
        <f t="shared" si="13"/>
        <v>0</v>
      </c>
      <c r="O41" s="870">
        <f t="shared" si="13"/>
        <v>0</v>
      </c>
      <c r="P41" s="870">
        <f t="shared" si="13"/>
        <v>0</v>
      </c>
      <c r="Q41" s="870">
        <f t="shared" si="13"/>
        <v>73112</v>
      </c>
      <c r="R41" s="870">
        <f t="shared" si="13"/>
        <v>1776506</v>
      </c>
      <c r="S41" s="871">
        <f t="shared" si="2"/>
        <v>20811963</v>
      </c>
      <c r="T41" s="872">
        <f t="shared" si="3"/>
        <v>42.786892799337515</v>
      </c>
      <c r="U41" s="873"/>
    </row>
    <row r="42" spans="1:21" s="679" customFormat="1" ht="24" customHeight="1">
      <c r="A42" s="807">
        <v>3.1</v>
      </c>
      <c r="B42" s="826" t="s">
        <v>710</v>
      </c>
      <c r="C42" s="827">
        <f>D42+E42</f>
        <v>24942702</v>
      </c>
      <c r="D42" s="827">
        <v>22511435</v>
      </c>
      <c r="E42" s="827">
        <v>2431267</v>
      </c>
      <c r="F42" s="827">
        <v>400</v>
      </c>
      <c r="G42" s="827"/>
      <c r="H42" s="827">
        <f>I42+R42</f>
        <v>24942302</v>
      </c>
      <c r="I42" s="827">
        <f>J42+K42+L42+M42+N42+O42+P42+Q42</f>
        <v>24674594</v>
      </c>
      <c r="J42" s="827">
        <v>675096</v>
      </c>
      <c r="K42" s="827">
        <v>11242788</v>
      </c>
      <c r="L42" s="827"/>
      <c r="M42" s="827">
        <v>12683598</v>
      </c>
      <c r="N42" s="827"/>
      <c r="O42" s="827">
        <v>0</v>
      </c>
      <c r="P42" s="827"/>
      <c r="Q42" s="827">
        <v>73112</v>
      </c>
      <c r="R42" s="828">
        <v>267708</v>
      </c>
      <c r="S42" s="805">
        <f t="shared" si="2"/>
        <v>13024418</v>
      </c>
      <c r="T42" s="806">
        <f t="shared" si="3"/>
        <v>48.30022329850696</v>
      </c>
      <c r="U42" s="678"/>
    </row>
    <row r="43" spans="1:21" s="668" customFormat="1" ht="24" customHeight="1">
      <c r="A43" s="807">
        <v>3.2</v>
      </c>
      <c r="B43" s="826" t="s">
        <v>711</v>
      </c>
      <c r="C43" s="827">
        <f>D43+E43</f>
        <v>10239678</v>
      </c>
      <c r="D43" s="827">
        <v>8218666</v>
      </c>
      <c r="E43" s="827">
        <v>2021012</v>
      </c>
      <c r="F43" s="827">
        <v>134327</v>
      </c>
      <c r="G43" s="827"/>
      <c r="H43" s="827">
        <f>I43+R43</f>
        <v>10105351</v>
      </c>
      <c r="I43" s="827">
        <f>J43+K43+L43+M43+N43+O43+P43+Q43</f>
        <v>8596553</v>
      </c>
      <c r="J43" s="827">
        <v>1795858</v>
      </c>
      <c r="K43" s="827">
        <v>521948</v>
      </c>
      <c r="L43" s="827"/>
      <c r="M43" s="827">
        <v>6278747</v>
      </c>
      <c r="N43" s="827"/>
      <c r="O43" s="827"/>
      <c r="P43" s="827"/>
      <c r="Q43" s="827"/>
      <c r="R43" s="828">
        <v>1508798</v>
      </c>
      <c r="S43" s="805">
        <f t="shared" si="2"/>
        <v>7787545</v>
      </c>
      <c r="T43" s="806">
        <f t="shared" si="3"/>
        <v>26.962039319713377</v>
      </c>
      <c r="U43" s="667"/>
    </row>
    <row r="44" spans="1:21" s="874" customFormat="1" ht="24" customHeight="1">
      <c r="A44" s="868">
        <v>4</v>
      </c>
      <c r="B44" s="875" t="s">
        <v>713</v>
      </c>
      <c r="C44" s="870">
        <f t="shared" si="9"/>
        <v>2600</v>
      </c>
      <c r="D44" s="870">
        <f aca="true" t="shared" si="14" ref="D44:R44">D45</f>
        <v>0</v>
      </c>
      <c r="E44" s="870">
        <f t="shared" si="14"/>
        <v>2600</v>
      </c>
      <c r="F44" s="870">
        <f t="shared" si="14"/>
        <v>0</v>
      </c>
      <c r="G44" s="870">
        <f t="shared" si="14"/>
        <v>0</v>
      </c>
      <c r="H44" s="870">
        <f t="shared" si="11"/>
        <v>2600</v>
      </c>
      <c r="I44" s="870">
        <f t="shared" si="12"/>
        <v>2600</v>
      </c>
      <c r="J44" s="870">
        <f t="shared" si="14"/>
        <v>2600</v>
      </c>
      <c r="K44" s="870">
        <f t="shared" si="14"/>
        <v>0</v>
      </c>
      <c r="L44" s="870">
        <f t="shared" si="14"/>
        <v>0</v>
      </c>
      <c r="M44" s="870">
        <f t="shared" si="14"/>
        <v>0</v>
      </c>
      <c r="N44" s="870">
        <f t="shared" si="14"/>
        <v>0</v>
      </c>
      <c r="O44" s="870">
        <f t="shared" si="14"/>
        <v>0</v>
      </c>
      <c r="P44" s="870">
        <f t="shared" si="14"/>
        <v>0</v>
      </c>
      <c r="Q44" s="870">
        <f t="shared" si="14"/>
        <v>0</v>
      </c>
      <c r="R44" s="870">
        <f t="shared" si="14"/>
        <v>0</v>
      </c>
      <c r="S44" s="871">
        <f t="shared" si="2"/>
        <v>0</v>
      </c>
      <c r="T44" s="872">
        <f t="shared" si="3"/>
        <v>100</v>
      </c>
      <c r="U44" s="873"/>
    </row>
    <row r="45" spans="1:21" s="679" customFormat="1" ht="24" customHeight="1">
      <c r="A45" s="807" t="s">
        <v>167</v>
      </c>
      <c r="B45" s="829" t="s">
        <v>714</v>
      </c>
      <c r="C45" s="804">
        <f t="shared" si="9"/>
        <v>2600</v>
      </c>
      <c r="D45" s="804"/>
      <c r="E45" s="804">
        <v>2600</v>
      </c>
      <c r="F45" s="804"/>
      <c r="G45" s="804"/>
      <c r="H45" s="804">
        <f t="shared" si="11"/>
        <v>2600</v>
      </c>
      <c r="I45" s="804">
        <f t="shared" si="12"/>
        <v>2600</v>
      </c>
      <c r="J45" s="804">
        <v>2600</v>
      </c>
      <c r="K45" s="804"/>
      <c r="L45" s="830"/>
      <c r="M45" s="830"/>
      <c r="N45" s="830"/>
      <c r="O45" s="831"/>
      <c r="P45" s="831"/>
      <c r="Q45" s="831"/>
      <c r="R45" s="831"/>
      <c r="S45" s="805">
        <f t="shared" si="2"/>
        <v>0</v>
      </c>
      <c r="T45" s="806">
        <f t="shared" si="3"/>
        <v>100</v>
      </c>
      <c r="U45" s="678"/>
    </row>
    <row r="46" spans="1:21" s="874" customFormat="1" ht="24" customHeight="1">
      <c r="A46" s="868">
        <v>5</v>
      </c>
      <c r="B46" s="875" t="s">
        <v>715</v>
      </c>
      <c r="C46" s="870">
        <f t="shared" si="9"/>
        <v>573036305</v>
      </c>
      <c r="D46" s="870">
        <f aca="true" t="shared" si="15" ref="D46:R46">SUM(D47:D53)</f>
        <v>420361581</v>
      </c>
      <c r="E46" s="870">
        <f t="shared" si="15"/>
        <v>152674724</v>
      </c>
      <c r="F46" s="870">
        <f t="shared" si="15"/>
        <v>43423505</v>
      </c>
      <c r="G46" s="870">
        <f t="shared" si="15"/>
        <v>0</v>
      </c>
      <c r="H46" s="870">
        <f t="shared" si="11"/>
        <v>529612800</v>
      </c>
      <c r="I46" s="870">
        <f t="shared" si="12"/>
        <v>232675512</v>
      </c>
      <c r="J46" s="870">
        <f t="shared" si="15"/>
        <v>35953704</v>
      </c>
      <c r="K46" s="870">
        <f t="shared" si="15"/>
        <v>2516228</v>
      </c>
      <c r="L46" s="870">
        <f t="shared" si="15"/>
        <v>0</v>
      </c>
      <c r="M46" s="870">
        <f t="shared" si="15"/>
        <v>194193580</v>
      </c>
      <c r="N46" s="870">
        <f t="shared" si="15"/>
        <v>0</v>
      </c>
      <c r="O46" s="870">
        <f t="shared" si="15"/>
        <v>0</v>
      </c>
      <c r="P46" s="870">
        <f t="shared" si="15"/>
        <v>0</v>
      </c>
      <c r="Q46" s="870">
        <f t="shared" si="15"/>
        <v>12000</v>
      </c>
      <c r="R46" s="870">
        <f t="shared" si="15"/>
        <v>296937288</v>
      </c>
      <c r="S46" s="871">
        <f t="shared" si="2"/>
        <v>491142868</v>
      </c>
      <c r="T46" s="872">
        <f t="shared" si="3"/>
        <v>16.5337261619521</v>
      </c>
      <c r="U46" s="873"/>
    </row>
    <row r="47" spans="1:21" s="668" customFormat="1" ht="24" customHeight="1">
      <c r="A47" s="832" t="s">
        <v>177</v>
      </c>
      <c r="B47" s="833" t="s">
        <v>716</v>
      </c>
      <c r="C47" s="834">
        <v>7087104</v>
      </c>
      <c r="D47" s="835">
        <v>4768730</v>
      </c>
      <c r="E47" s="834">
        <v>2318374</v>
      </c>
      <c r="F47" s="834">
        <v>0</v>
      </c>
      <c r="G47" s="834">
        <v>0</v>
      </c>
      <c r="H47" s="834">
        <v>7087104</v>
      </c>
      <c r="I47" s="834">
        <v>5845821</v>
      </c>
      <c r="J47" s="834">
        <v>38699</v>
      </c>
      <c r="K47" s="834">
        <v>0</v>
      </c>
      <c r="L47" s="834">
        <v>0</v>
      </c>
      <c r="M47" s="836">
        <v>5807122</v>
      </c>
      <c r="N47" s="834">
        <v>0</v>
      </c>
      <c r="O47" s="834">
        <v>0</v>
      </c>
      <c r="P47" s="834">
        <v>0</v>
      </c>
      <c r="Q47" s="837">
        <v>0</v>
      </c>
      <c r="R47" s="837">
        <v>1241283</v>
      </c>
      <c r="S47" s="805">
        <f t="shared" si="2"/>
        <v>7048405</v>
      </c>
      <c r="T47" s="806">
        <f t="shared" si="3"/>
        <v>0.6619942690684508</v>
      </c>
      <c r="U47" s="667"/>
    </row>
    <row r="48" spans="1:21" s="679" customFormat="1" ht="24" customHeight="1">
      <c r="A48" s="832" t="s">
        <v>178</v>
      </c>
      <c r="B48" s="833" t="s">
        <v>717</v>
      </c>
      <c r="C48" s="834">
        <v>296961264</v>
      </c>
      <c r="D48" s="835">
        <v>288605117</v>
      </c>
      <c r="E48" s="834">
        <v>8356147</v>
      </c>
      <c r="F48" s="834">
        <v>2040</v>
      </c>
      <c r="G48" s="834">
        <v>0</v>
      </c>
      <c r="H48" s="834">
        <v>296959224</v>
      </c>
      <c r="I48" s="834">
        <v>63048060</v>
      </c>
      <c r="J48" s="834">
        <v>8811842</v>
      </c>
      <c r="K48" s="834">
        <v>2247208</v>
      </c>
      <c r="L48" s="834">
        <v>0</v>
      </c>
      <c r="M48" s="836">
        <v>51977010</v>
      </c>
      <c r="N48" s="834">
        <v>0</v>
      </c>
      <c r="O48" s="834">
        <v>0</v>
      </c>
      <c r="P48" s="834">
        <v>0</v>
      </c>
      <c r="Q48" s="837">
        <v>12000</v>
      </c>
      <c r="R48" s="837">
        <v>233911164</v>
      </c>
      <c r="S48" s="805">
        <f t="shared" si="2"/>
        <v>285900174</v>
      </c>
      <c r="T48" s="806">
        <f t="shared" si="3"/>
        <v>17.540666596244197</v>
      </c>
      <c r="U48" s="678"/>
    </row>
    <row r="49" spans="1:21" s="668" customFormat="1" ht="24" customHeight="1">
      <c r="A49" s="832" t="s">
        <v>179</v>
      </c>
      <c r="B49" s="833" t="s">
        <v>825</v>
      </c>
      <c r="C49" s="834">
        <v>45873977</v>
      </c>
      <c r="D49" s="835">
        <v>14045786</v>
      </c>
      <c r="E49" s="834">
        <v>31828191</v>
      </c>
      <c r="F49" s="834">
        <v>699540</v>
      </c>
      <c r="G49" s="834">
        <v>0</v>
      </c>
      <c r="H49" s="834">
        <v>45174437</v>
      </c>
      <c r="I49" s="834">
        <v>20819172</v>
      </c>
      <c r="J49" s="834">
        <v>368497</v>
      </c>
      <c r="K49" s="834">
        <v>23600</v>
      </c>
      <c r="L49" s="834">
        <v>0</v>
      </c>
      <c r="M49" s="836">
        <v>20427075</v>
      </c>
      <c r="N49" s="834">
        <v>0</v>
      </c>
      <c r="O49" s="834">
        <v>0</v>
      </c>
      <c r="P49" s="834">
        <v>0</v>
      </c>
      <c r="Q49" s="837">
        <v>0</v>
      </c>
      <c r="R49" s="837">
        <v>24355265</v>
      </c>
      <c r="S49" s="805">
        <f t="shared" si="2"/>
        <v>44782340</v>
      </c>
      <c r="T49" s="806">
        <f t="shared" si="3"/>
        <v>1.8833457930027189</v>
      </c>
      <c r="U49" s="667"/>
    </row>
    <row r="50" spans="1:21" s="668" customFormat="1" ht="24" customHeight="1">
      <c r="A50" s="832" t="s">
        <v>719</v>
      </c>
      <c r="B50" s="833" t="s">
        <v>720</v>
      </c>
      <c r="C50" s="834">
        <v>58734359</v>
      </c>
      <c r="D50" s="835">
        <v>16214323</v>
      </c>
      <c r="E50" s="834">
        <v>42520036</v>
      </c>
      <c r="F50" s="834">
        <v>38772832</v>
      </c>
      <c r="G50" s="834">
        <v>0</v>
      </c>
      <c r="H50" s="834">
        <v>19961527</v>
      </c>
      <c r="I50" s="834">
        <v>9378683</v>
      </c>
      <c r="J50" s="834">
        <v>5717674</v>
      </c>
      <c r="K50" s="834">
        <v>24000</v>
      </c>
      <c r="L50" s="834">
        <v>0</v>
      </c>
      <c r="M50" s="836">
        <v>3637009</v>
      </c>
      <c r="N50" s="834">
        <v>0</v>
      </c>
      <c r="O50" s="834">
        <v>0</v>
      </c>
      <c r="P50" s="834">
        <v>0</v>
      </c>
      <c r="Q50" s="837">
        <v>0</v>
      </c>
      <c r="R50" s="837">
        <v>10582844</v>
      </c>
      <c r="S50" s="805">
        <f t="shared" si="2"/>
        <v>14219853</v>
      </c>
      <c r="T50" s="806">
        <f t="shared" si="3"/>
        <v>61.22047200017315</v>
      </c>
      <c r="U50" s="667"/>
    </row>
    <row r="51" spans="1:21" s="668" customFormat="1" ht="24" customHeight="1">
      <c r="A51" s="832" t="s">
        <v>721</v>
      </c>
      <c r="B51" s="833" t="s">
        <v>722</v>
      </c>
      <c r="C51" s="834">
        <v>57795100</v>
      </c>
      <c r="D51" s="835">
        <v>37827593</v>
      </c>
      <c r="E51" s="834">
        <v>19967507</v>
      </c>
      <c r="F51" s="834">
        <v>0</v>
      </c>
      <c r="G51" s="834">
        <v>0</v>
      </c>
      <c r="H51" s="834">
        <v>57795100</v>
      </c>
      <c r="I51" s="834">
        <v>52065106</v>
      </c>
      <c r="J51" s="834">
        <v>3687337</v>
      </c>
      <c r="K51" s="834">
        <v>0</v>
      </c>
      <c r="L51" s="834">
        <v>0</v>
      </c>
      <c r="M51" s="836">
        <v>48377769</v>
      </c>
      <c r="N51" s="834">
        <v>0</v>
      </c>
      <c r="O51" s="834">
        <v>0</v>
      </c>
      <c r="P51" s="834">
        <v>0</v>
      </c>
      <c r="Q51" s="837">
        <v>0</v>
      </c>
      <c r="R51" s="837">
        <v>5729994</v>
      </c>
      <c r="S51" s="805">
        <f t="shared" si="2"/>
        <v>54107763</v>
      </c>
      <c r="T51" s="806">
        <f t="shared" si="3"/>
        <v>7.082165548649801</v>
      </c>
      <c r="U51" s="667"/>
    </row>
    <row r="52" spans="1:21" s="668" customFormat="1" ht="24" customHeight="1">
      <c r="A52" s="832" t="s">
        <v>723</v>
      </c>
      <c r="B52" s="833" t="s">
        <v>724</v>
      </c>
      <c r="C52" s="834">
        <v>48882689</v>
      </c>
      <c r="D52" s="835">
        <v>26045136</v>
      </c>
      <c r="E52" s="834">
        <v>22837553</v>
      </c>
      <c r="F52" s="834">
        <v>3611930</v>
      </c>
      <c r="G52" s="834">
        <v>0</v>
      </c>
      <c r="H52" s="834">
        <v>45270759</v>
      </c>
      <c r="I52" s="834">
        <v>35394624</v>
      </c>
      <c r="J52" s="834">
        <v>113457</v>
      </c>
      <c r="K52" s="834">
        <v>159350</v>
      </c>
      <c r="L52" s="834">
        <v>0</v>
      </c>
      <c r="M52" s="836">
        <v>35121817</v>
      </c>
      <c r="N52" s="834">
        <v>0</v>
      </c>
      <c r="O52" s="834">
        <v>0</v>
      </c>
      <c r="P52" s="834">
        <v>0</v>
      </c>
      <c r="Q52" s="837">
        <v>0</v>
      </c>
      <c r="R52" s="837">
        <v>9876135</v>
      </c>
      <c r="S52" s="805">
        <f t="shared" si="2"/>
        <v>44997952</v>
      </c>
      <c r="T52" s="806">
        <f t="shared" si="3"/>
        <v>0.7707582936888947</v>
      </c>
      <c r="U52" s="667"/>
    </row>
    <row r="53" spans="1:21" s="668" customFormat="1" ht="24" customHeight="1">
      <c r="A53" s="832" t="s">
        <v>725</v>
      </c>
      <c r="B53" s="833" t="s">
        <v>726</v>
      </c>
      <c r="C53" s="834">
        <v>57701812</v>
      </c>
      <c r="D53" s="835">
        <v>32854896</v>
      </c>
      <c r="E53" s="834">
        <v>24846916</v>
      </c>
      <c r="F53" s="834">
        <v>337163</v>
      </c>
      <c r="G53" s="834">
        <v>0</v>
      </c>
      <c r="H53" s="834">
        <v>57364649</v>
      </c>
      <c r="I53" s="834">
        <v>46124046</v>
      </c>
      <c r="J53" s="834">
        <v>17216198</v>
      </c>
      <c r="K53" s="834">
        <v>62070</v>
      </c>
      <c r="L53" s="834">
        <v>0</v>
      </c>
      <c r="M53" s="836">
        <v>28845778</v>
      </c>
      <c r="N53" s="834">
        <v>0</v>
      </c>
      <c r="O53" s="834">
        <v>0</v>
      </c>
      <c r="P53" s="834">
        <v>0</v>
      </c>
      <c r="Q53" s="837">
        <v>0</v>
      </c>
      <c r="R53" s="837">
        <v>11240603</v>
      </c>
      <c r="S53" s="805">
        <f t="shared" si="2"/>
        <v>40086381</v>
      </c>
      <c r="T53" s="806">
        <f t="shared" si="3"/>
        <v>37.46043441202014</v>
      </c>
      <c r="U53" s="667"/>
    </row>
    <row r="54" spans="1:21" s="874" customFormat="1" ht="24" customHeight="1">
      <c r="A54" s="868">
        <v>6</v>
      </c>
      <c r="B54" s="875" t="s">
        <v>727</v>
      </c>
      <c r="C54" s="870">
        <f>SUM(C55:C59)</f>
        <v>634258722</v>
      </c>
      <c r="D54" s="870">
        <f aca="true" t="shared" si="16" ref="D54:R54">SUM(D55:D59)</f>
        <v>496970370</v>
      </c>
      <c r="E54" s="870">
        <f t="shared" si="16"/>
        <v>137288352</v>
      </c>
      <c r="F54" s="870">
        <f t="shared" si="16"/>
        <v>6050172</v>
      </c>
      <c r="G54" s="870">
        <f t="shared" si="16"/>
        <v>14807384</v>
      </c>
      <c r="H54" s="870">
        <f t="shared" si="16"/>
        <v>628208550</v>
      </c>
      <c r="I54" s="870">
        <f t="shared" si="16"/>
        <v>547011384</v>
      </c>
      <c r="J54" s="870">
        <f t="shared" si="16"/>
        <v>62883709</v>
      </c>
      <c r="K54" s="870">
        <f t="shared" si="16"/>
        <v>419617347</v>
      </c>
      <c r="L54" s="870">
        <f t="shared" si="16"/>
        <v>4300</v>
      </c>
      <c r="M54" s="870">
        <f t="shared" si="16"/>
        <v>64366077</v>
      </c>
      <c r="N54" s="870">
        <f t="shared" si="16"/>
        <v>139951</v>
      </c>
      <c r="O54" s="870">
        <f t="shared" si="16"/>
        <v>0</v>
      </c>
      <c r="P54" s="870">
        <f t="shared" si="16"/>
        <v>0</v>
      </c>
      <c r="Q54" s="870">
        <f t="shared" si="16"/>
        <v>0</v>
      </c>
      <c r="R54" s="870">
        <f t="shared" si="16"/>
        <v>81197166</v>
      </c>
      <c r="S54" s="871">
        <f t="shared" si="2"/>
        <v>145703194</v>
      </c>
      <c r="T54" s="872">
        <f t="shared" si="3"/>
        <v>88.20755291630275</v>
      </c>
      <c r="U54" s="873"/>
    </row>
    <row r="55" spans="1:21" s="668" customFormat="1" ht="24" customHeight="1">
      <c r="A55" s="807" t="s">
        <v>852</v>
      </c>
      <c r="B55" s="826" t="s">
        <v>728</v>
      </c>
      <c r="C55" s="827">
        <f>D55+E55</f>
        <v>517198150</v>
      </c>
      <c r="D55" s="827">
        <v>403997817</v>
      </c>
      <c r="E55" s="827">
        <v>113200333</v>
      </c>
      <c r="F55" s="827">
        <v>1944293</v>
      </c>
      <c r="G55" s="827"/>
      <c r="H55" s="827">
        <f>C55-F55-G55</f>
        <v>515253857</v>
      </c>
      <c r="I55" s="827">
        <f>J55+K55+L55+M55+N55+O55+P55+Q55</f>
        <v>514553113</v>
      </c>
      <c r="J55" s="838">
        <v>51836978</v>
      </c>
      <c r="K55" s="827">
        <v>417109783</v>
      </c>
      <c r="L55" s="827"/>
      <c r="M55" s="827">
        <v>45606352</v>
      </c>
      <c r="N55" s="839"/>
      <c r="O55" s="839"/>
      <c r="P55" s="839"/>
      <c r="Q55" s="839"/>
      <c r="R55" s="840">
        <v>700744</v>
      </c>
      <c r="S55" s="805">
        <f t="shared" si="2"/>
        <v>46307096</v>
      </c>
      <c r="T55" s="806">
        <f t="shared" si="3"/>
        <v>91.13670662021629</v>
      </c>
      <c r="U55" s="667"/>
    </row>
    <row r="56" spans="1:21" s="679" customFormat="1" ht="24" customHeight="1">
      <c r="A56" s="807" t="s">
        <v>853</v>
      </c>
      <c r="B56" s="826" t="s">
        <v>729</v>
      </c>
      <c r="C56" s="827">
        <f>D56+E56</f>
        <v>11009321</v>
      </c>
      <c r="D56" s="827">
        <v>4038042</v>
      </c>
      <c r="E56" s="827">
        <v>6971279</v>
      </c>
      <c r="F56" s="827">
        <v>1340849</v>
      </c>
      <c r="G56" s="827"/>
      <c r="H56" s="827">
        <f>I56+R56</f>
        <v>9668472</v>
      </c>
      <c r="I56" s="827">
        <f>J56+K56+L56+M56+N56+O56+P56+Q56</f>
        <v>3808472</v>
      </c>
      <c r="J56" s="827">
        <v>1741015</v>
      </c>
      <c r="K56" s="827">
        <v>119609</v>
      </c>
      <c r="L56" s="827"/>
      <c r="M56" s="827">
        <v>1947848</v>
      </c>
      <c r="N56" s="839">
        <v>0</v>
      </c>
      <c r="O56" s="839"/>
      <c r="P56" s="839"/>
      <c r="Q56" s="839"/>
      <c r="R56" s="839">
        <v>5860000</v>
      </c>
      <c r="S56" s="805">
        <f t="shared" si="2"/>
        <v>7807848</v>
      </c>
      <c r="T56" s="806">
        <f t="shared" si="3"/>
        <v>48.85486882928377</v>
      </c>
      <c r="U56" s="678"/>
    </row>
    <row r="57" spans="1:21" s="668" customFormat="1" ht="24" customHeight="1">
      <c r="A57" s="807" t="s">
        <v>854</v>
      </c>
      <c r="B57" s="826" t="s">
        <v>730</v>
      </c>
      <c r="C57" s="827">
        <f>D57+E57</f>
        <v>87222652</v>
      </c>
      <c r="D57" s="827">
        <v>78129210</v>
      </c>
      <c r="E57" s="827">
        <f>23900826-14807384</f>
        <v>9093442</v>
      </c>
      <c r="F57" s="827">
        <v>1221874</v>
      </c>
      <c r="G57" s="827">
        <v>14807384</v>
      </c>
      <c r="H57" s="827">
        <f>I57+R57</f>
        <v>86000778</v>
      </c>
      <c r="I57" s="827">
        <f>J57+K57+L57+M57+N57+O57+P57+Q57</f>
        <v>14518867</v>
      </c>
      <c r="J57" s="827">
        <v>7822103</v>
      </c>
      <c r="K57" s="827">
        <v>741143</v>
      </c>
      <c r="L57" s="827"/>
      <c r="M57" s="827">
        <v>5865670</v>
      </c>
      <c r="N57" s="839">
        <v>89951</v>
      </c>
      <c r="O57" s="839"/>
      <c r="P57" s="839"/>
      <c r="Q57" s="839"/>
      <c r="R57" s="839">
        <v>71481911</v>
      </c>
      <c r="S57" s="805">
        <f t="shared" si="2"/>
        <v>77437532</v>
      </c>
      <c r="T57" s="806">
        <f t="shared" si="3"/>
        <v>58.98012565305544</v>
      </c>
      <c r="U57" s="667"/>
    </row>
    <row r="58" spans="1:21" s="668" customFormat="1" ht="24" customHeight="1">
      <c r="A58" s="807" t="s">
        <v>855</v>
      </c>
      <c r="B58" s="826" t="s">
        <v>731</v>
      </c>
      <c r="C58" s="827">
        <f>D58+E58</f>
        <v>16914365</v>
      </c>
      <c r="D58" s="827">
        <v>8980730</v>
      </c>
      <c r="E58" s="827">
        <v>7933635</v>
      </c>
      <c r="F58" s="827">
        <v>1503589</v>
      </c>
      <c r="G58" s="827"/>
      <c r="H58" s="827">
        <f>I58+R58</f>
        <v>15410776</v>
      </c>
      <c r="I58" s="827">
        <f>J58+K58+L58+M58+N58+O58+P58+Q58</f>
        <v>12883051</v>
      </c>
      <c r="J58" s="827">
        <v>1368718</v>
      </c>
      <c r="K58" s="827">
        <v>1646812</v>
      </c>
      <c r="L58" s="827">
        <v>4300</v>
      </c>
      <c r="M58" s="827">
        <v>9813221</v>
      </c>
      <c r="N58" s="839">
        <v>50000</v>
      </c>
      <c r="O58" s="839"/>
      <c r="P58" s="839"/>
      <c r="Q58" s="839"/>
      <c r="R58" s="839">
        <v>2527725</v>
      </c>
      <c r="S58" s="805">
        <f t="shared" si="2"/>
        <v>12390946</v>
      </c>
      <c r="T58" s="806">
        <f t="shared" si="3"/>
        <v>23.440332573394297</v>
      </c>
      <c r="U58" s="667"/>
    </row>
    <row r="59" spans="1:21" s="668" customFormat="1" ht="24" customHeight="1">
      <c r="A59" s="807" t="s">
        <v>856</v>
      </c>
      <c r="B59" s="826" t="s">
        <v>826</v>
      </c>
      <c r="C59" s="827">
        <f>D59+E59</f>
        <v>1914234</v>
      </c>
      <c r="D59" s="827">
        <v>1824571</v>
      </c>
      <c r="E59" s="827">
        <v>89663</v>
      </c>
      <c r="F59" s="827">
        <v>39567</v>
      </c>
      <c r="G59" s="827"/>
      <c r="H59" s="827">
        <f>I59+R59</f>
        <v>1874667</v>
      </c>
      <c r="I59" s="827">
        <f>J59+K59+L59+M59+N59+O59+P59+Q59</f>
        <v>1247881</v>
      </c>
      <c r="J59" s="827">
        <v>114895</v>
      </c>
      <c r="K59" s="827"/>
      <c r="L59" s="827"/>
      <c r="M59" s="827">
        <v>1132986</v>
      </c>
      <c r="N59" s="839"/>
      <c r="O59" s="839"/>
      <c r="P59" s="839"/>
      <c r="Q59" s="839"/>
      <c r="R59" s="839">
        <v>626786</v>
      </c>
      <c r="S59" s="805">
        <f t="shared" si="2"/>
        <v>1759772</v>
      </c>
      <c r="T59" s="806">
        <f t="shared" si="3"/>
        <v>9.207208059101788</v>
      </c>
      <c r="U59" s="667"/>
    </row>
    <row r="60" spans="1:21" s="874" customFormat="1" ht="24" customHeight="1">
      <c r="A60" s="868">
        <v>7</v>
      </c>
      <c r="B60" s="876" t="s">
        <v>778</v>
      </c>
      <c r="C60" s="870">
        <f>SUM(C61:C66)</f>
        <v>450868470</v>
      </c>
      <c r="D60" s="870">
        <f aca="true" t="shared" si="17" ref="D60:R60">SUM(D61:D66)</f>
        <v>275533507</v>
      </c>
      <c r="E60" s="870">
        <f t="shared" si="17"/>
        <v>175334963</v>
      </c>
      <c r="F60" s="870">
        <f t="shared" si="17"/>
        <v>5417156</v>
      </c>
      <c r="G60" s="870">
        <f t="shared" si="17"/>
        <v>9220570</v>
      </c>
      <c r="H60" s="870">
        <f t="shared" si="17"/>
        <v>445451314</v>
      </c>
      <c r="I60" s="870">
        <f t="shared" si="17"/>
        <v>300682628</v>
      </c>
      <c r="J60" s="870">
        <f t="shared" si="17"/>
        <v>104747053</v>
      </c>
      <c r="K60" s="870">
        <f t="shared" si="17"/>
        <v>4633938</v>
      </c>
      <c r="L60" s="870">
        <f t="shared" si="17"/>
        <v>0</v>
      </c>
      <c r="M60" s="870">
        <f t="shared" si="17"/>
        <v>191301637</v>
      </c>
      <c r="N60" s="870">
        <f t="shared" si="17"/>
        <v>0</v>
      </c>
      <c r="O60" s="870">
        <f t="shared" si="17"/>
        <v>0</v>
      </c>
      <c r="P60" s="870">
        <f t="shared" si="17"/>
        <v>0</v>
      </c>
      <c r="Q60" s="870">
        <f t="shared" si="17"/>
        <v>0</v>
      </c>
      <c r="R60" s="870">
        <f t="shared" si="17"/>
        <v>144768686</v>
      </c>
      <c r="S60" s="871">
        <f t="shared" si="2"/>
        <v>336070323</v>
      </c>
      <c r="T60" s="872">
        <f t="shared" si="3"/>
        <v>36.37755587263259</v>
      </c>
      <c r="U60" s="873"/>
    </row>
    <row r="61" spans="1:21" s="668" customFormat="1" ht="24" customHeight="1">
      <c r="A61" s="832" t="s">
        <v>846</v>
      </c>
      <c r="B61" s="841" t="s">
        <v>733</v>
      </c>
      <c r="C61" s="842">
        <f aca="true" t="shared" si="18" ref="C61:C75">D61+E61</f>
        <v>115402186</v>
      </c>
      <c r="D61" s="842">
        <v>53125765</v>
      </c>
      <c r="E61" s="842">
        <v>62276421</v>
      </c>
      <c r="F61" s="842">
        <v>1296</v>
      </c>
      <c r="G61" s="842"/>
      <c r="H61" s="842">
        <f aca="true" t="shared" si="19" ref="H61:H75">I61+R61</f>
        <v>115400890</v>
      </c>
      <c r="I61" s="842">
        <f>SUM(J61:Q61)</f>
        <v>108851899</v>
      </c>
      <c r="J61" s="842">
        <v>60795972</v>
      </c>
      <c r="K61" s="842">
        <v>180000</v>
      </c>
      <c r="L61" s="842"/>
      <c r="M61" s="842">
        <v>47875927</v>
      </c>
      <c r="N61" s="842"/>
      <c r="O61" s="842"/>
      <c r="P61" s="842"/>
      <c r="Q61" s="843"/>
      <c r="R61" s="844">
        <v>6548991</v>
      </c>
      <c r="S61" s="805">
        <f t="shared" si="2"/>
        <v>54424918</v>
      </c>
      <c r="T61" s="806">
        <f t="shared" si="3"/>
        <v>56.01737090503125</v>
      </c>
      <c r="U61" s="667"/>
    </row>
    <row r="62" spans="1:21" s="679" customFormat="1" ht="24" customHeight="1">
      <c r="A62" s="832" t="s">
        <v>847</v>
      </c>
      <c r="B62" s="841" t="s">
        <v>734</v>
      </c>
      <c r="C62" s="842">
        <f t="shared" si="18"/>
        <v>68476405</v>
      </c>
      <c r="D62" s="845">
        <v>61025167</v>
      </c>
      <c r="E62" s="845">
        <v>7451238</v>
      </c>
      <c r="F62" s="845">
        <v>200</v>
      </c>
      <c r="G62" s="845">
        <v>0</v>
      </c>
      <c r="H62" s="842">
        <f t="shared" si="19"/>
        <v>68476205</v>
      </c>
      <c r="I62" s="842">
        <f>SUM(J62:Q62)</f>
        <v>37156135</v>
      </c>
      <c r="J62" s="845">
        <v>2140899</v>
      </c>
      <c r="K62" s="845">
        <v>13882</v>
      </c>
      <c r="L62" s="845">
        <v>0</v>
      </c>
      <c r="M62" s="845">
        <v>35001354</v>
      </c>
      <c r="N62" s="845">
        <v>0</v>
      </c>
      <c r="O62" s="845">
        <v>0</v>
      </c>
      <c r="P62" s="845">
        <v>0</v>
      </c>
      <c r="Q62" s="846">
        <v>0</v>
      </c>
      <c r="R62" s="847">
        <v>31320070</v>
      </c>
      <c r="S62" s="805">
        <f t="shared" si="2"/>
        <v>66321424</v>
      </c>
      <c r="T62" s="806">
        <f t="shared" si="3"/>
        <v>5.799260337492045</v>
      </c>
      <c r="U62" s="678"/>
    </row>
    <row r="63" spans="1:21" s="668" customFormat="1" ht="24" customHeight="1">
      <c r="A63" s="832" t="s">
        <v>848</v>
      </c>
      <c r="B63" s="841" t="s">
        <v>827</v>
      </c>
      <c r="C63" s="842">
        <f t="shared" si="18"/>
        <v>23911461</v>
      </c>
      <c r="D63" s="842">
        <v>20417204</v>
      </c>
      <c r="E63" s="842">
        <v>3494257</v>
      </c>
      <c r="F63" s="842">
        <v>2790014</v>
      </c>
      <c r="G63" s="842"/>
      <c r="H63" s="842">
        <f t="shared" si="19"/>
        <v>21121447</v>
      </c>
      <c r="I63" s="842">
        <f>SUM(J63:Q63)</f>
        <v>7281424</v>
      </c>
      <c r="J63" s="842">
        <v>2955564</v>
      </c>
      <c r="K63" s="842">
        <v>33503</v>
      </c>
      <c r="L63" s="842"/>
      <c r="M63" s="842">
        <v>4292357</v>
      </c>
      <c r="N63" s="842"/>
      <c r="O63" s="842"/>
      <c r="P63" s="842"/>
      <c r="Q63" s="843">
        <v>0</v>
      </c>
      <c r="R63" s="844">
        <v>13840023</v>
      </c>
      <c r="S63" s="805">
        <f t="shared" si="2"/>
        <v>18132380</v>
      </c>
      <c r="T63" s="806">
        <f t="shared" si="3"/>
        <v>41.050582962892975</v>
      </c>
      <c r="U63" s="667"/>
    </row>
    <row r="64" spans="1:21" s="668" customFormat="1" ht="24" customHeight="1">
      <c r="A64" s="832" t="s">
        <v>849</v>
      </c>
      <c r="B64" s="841" t="s">
        <v>736</v>
      </c>
      <c r="C64" s="842">
        <f t="shared" si="18"/>
        <v>60111141</v>
      </c>
      <c r="D64" s="842">
        <v>30361111</v>
      </c>
      <c r="E64" s="842">
        <v>29750030</v>
      </c>
      <c r="F64" s="842">
        <v>60000</v>
      </c>
      <c r="G64" s="842"/>
      <c r="H64" s="842">
        <f t="shared" si="19"/>
        <v>60051141</v>
      </c>
      <c r="I64" s="842">
        <f>SUM(J64:Q64)</f>
        <v>19103550</v>
      </c>
      <c r="J64" s="842">
        <v>14547003</v>
      </c>
      <c r="K64" s="842">
        <v>2610</v>
      </c>
      <c r="L64" s="842"/>
      <c r="M64" s="842">
        <f>4533937+20000</f>
        <v>4553937</v>
      </c>
      <c r="N64" s="842"/>
      <c r="O64" s="842"/>
      <c r="P64" s="842"/>
      <c r="Q64" s="843">
        <v>0</v>
      </c>
      <c r="R64" s="844">
        <v>40947591</v>
      </c>
      <c r="S64" s="805">
        <f t="shared" si="2"/>
        <v>45501528</v>
      </c>
      <c r="T64" s="806">
        <f t="shared" si="3"/>
        <v>76.1618285606602</v>
      </c>
      <c r="U64" s="667"/>
    </row>
    <row r="65" spans="1:21" s="668" customFormat="1" ht="24" customHeight="1">
      <c r="A65" s="832" t="s">
        <v>850</v>
      </c>
      <c r="B65" s="841" t="s">
        <v>737</v>
      </c>
      <c r="C65" s="842">
        <f t="shared" si="18"/>
        <v>106501156</v>
      </c>
      <c r="D65" s="842">
        <f>81006719-495+497</f>
        <v>81006721</v>
      </c>
      <c r="E65" s="848">
        <v>25494435</v>
      </c>
      <c r="F65" s="842"/>
      <c r="G65" s="842"/>
      <c r="H65" s="842">
        <f t="shared" si="19"/>
        <v>106501156</v>
      </c>
      <c r="I65" s="842">
        <f>SUM(J65:Q65)</f>
        <v>75986555</v>
      </c>
      <c r="J65" s="842">
        <v>16789893</v>
      </c>
      <c r="K65" s="842">
        <v>3833179</v>
      </c>
      <c r="L65" s="842"/>
      <c r="M65" s="842">
        <f>55263418+100065</f>
        <v>55363483</v>
      </c>
      <c r="N65" s="842"/>
      <c r="O65" s="842"/>
      <c r="P65" s="842"/>
      <c r="Q65" s="843">
        <v>0</v>
      </c>
      <c r="R65" s="844">
        <v>30514601</v>
      </c>
      <c r="S65" s="805">
        <f t="shared" si="2"/>
        <v>85878084</v>
      </c>
      <c r="T65" s="806">
        <f t="shared" si="3"/>
        <v>27.140422407621976</v>
      </c>
      <c r="U65" s="667"/>
    </row>
    <row r="66" spans="1:21" s="668" customFormat="1" ht="24" customHeight="1">
      <c r="A66" s="832" t="s">
        <v>851</v>
      </c>
      <c r="B66" s="841" t="s">
        <v>738</v>
      </c>
      <c r="C66" s="842">
        <f t="shared" si="18"/>
        <v>76466121</v>
      </c>
      <c r="D66" s="842">
        <f>29598036-497</f>
        <v>29597539</v>
      </c>
      <c r="E66" s="842">
        <v>46868582</v>
      </c>
      <c r="F66" s="842">
        <v>2565646</v>
      </c>
      <c r="G66" s="842">
        <v>9220570</v>
      </c>
      <c r="H66" s="842">
        <f t="shared" si="19"/>
        <v>73900475</v>
      </c>
      <c r="I66" s="842">
        <f>J66+K66+L66+M66+N66+O66+P66+Q66</f>
        <v>52303065</v>
      </c>
      <c r="J66" s="842">
        <v>7517722</v>
      </c>
      <c r="K66" s="842">
        <v>570764</v>
      </c>
      <c r="L66" s="842"/>
      <c r="M66" s="842">
        <f>44215076-497</f>
        <v>44214579</v>
      </c>
      <c r="N66" s="842"/>
      <c r="O66" s="842"/>
      <c r="P66" s="842"/>
      <c r="Q66" s="843">
        <v>0</v>
      </c>
      <c r="R66" s="844">
        <v>21597410</v>
      </c>
      <c r="S66" s="805">
        <f t="shared" si="2"/>
        <v>65811989</v>
      </c>
      <c r="T66" s="806">
        <f t="shared" si="3"/>
        <v>15.464650111805112</v>
      </c>
      <c r="U66" s="667"/>
    </row>
    <row r="67" spans="1:21" s="874" customFormat="1" ht="24" customHeight="1">
      <c r="A67" s="868">
        <v>8</v>
      </c>
      <c r="B67" s="875" t="s">
        <v>739</v>
      </c>
      <c r="C67" s="870">
        <f t="shared" si="18"/>
        <v>58041722</v>
      </c>
      <c r="D67" s="870">
        <f aca="true" t="shared" si="20" ref="D67:R67">SUM(D68:D70)</f>
        <v>38852964</v>
      </c>
      <c r="E67" s="870">
        <f t="shared" si="20"/>
        <v>19188758</v>
      </c>
      <c r="F67" s="870">
        <f t="shared" si="20"/>
        <v>88193</v>
      </c>
      <c r="G67" s="870">
        <f t="shared" si="20"/>
        <v>1</v>
      </c>
      <c r="H67" s="870">
        <f t="shared" si="19"/>
        <v>57953529</v>
      </c>
      <c r="I67" s="870">
        <f>SUM(J67:Q67)</f>
        <v>45557579</v>
      </c>
      <c r="J67" s="870">
        <f t="shared" si="20"/>
        <v>8700869</v>
      </c>
      <c r="K67" s="870">
        <f t="shared" si="20"/>
        <v>4791242</v>
      </c>
      <c r="L67" s="870">
        <f t="shared" si="20"/>
        <v>0</v>
      </c>
      <c r="M67" s="870">
        <f t="shared" si="20"/>
        <v>32055758</v>
      </c>
      <c r="N67" s="870">
        <f t="shared" si="20"/>
        <v>0</v>
      </c>
      <c r="O67" s="870">
        <f t="shared" si="20"/>
        <v>9710</v>
      </c>
      <c r="P67" s="870">
        <f t="shared" si="20"/>
        <v>0</v>
      </c>
      <c r="Q67" s="870">
        <f t="shared" si="20"/>
        <v>0</v>
      </c>
      <c r="R67" s="870">
        <f t="shared" si="20"/>
        <v>12395950</v>
      </c>
      <c r="S67" s="871">
        <f t="shared" si="2"/>
        <v>44461418</v>
      </c>
      <c r="T67" s="872">
        <f t="shared" si="3"/>
        <v>29.615513589956127</v>
      </c>
      <c r="U67" s="873"/>
    </row>
    <row r="68" spans="1:21" s="668" customFormat="1" ht="24" customHeight="1">
      <c r="A68" s="832" t="s">
        <v>740</v>
      </c>
      <c r="B68" s="829" t="s">
        <v>741</v>
      </c>
      <c r="C68" s="849">
        <f t="shared" si="18"/>
        <v>4110363</v>
      </c>
      <c r="D68" s="849">
        <v>2823439</v>
      </c>
      <c r="E68" s="849">
        <v>1286924</v>
      </c>
      <c r="F68" s="849">
        <v>84993</v>
      </c>
      <c r="G68" s="849"/>
      <c r="H68" s="849">
        <f t="shared" si="19"/>
        <v>4025370</v>
      </c>
      <c r="I68" s="849">
        <f>J68+K68+L68+M68+N68+O68+P68+Q68</f>
        <v>3371062</v>
      </c>
      <c r="J68" s="849">
        <v>1101314</v>
      </c>
      <c r="K68" s="849">
        <v>0</v>
      </c>
      <c r="L68" s="849"/>
      <c r="M68" s="849">
        <v>2269748</v>
      </c>
      <c r="N68" s="849"/>
      <c r="O68" s="849"/>
      <c r="P68" s="849"/>
      <c r="Q68" s="849"/>
      <c r="R68" s="849">
        <v>654308</v>
      </c>
      <c r="S68" s="805">
        <f t="shared" si="2"/>
        <v>2924056</v>
      </c>
      <c r="T68" s="806">
        <f t="shared" si="3"/>
        <v>32.66964535211752</v>
      </c>
      <c r="U68" s="667"/>
    </row>
    <row r="69" spans="1:21" s="679" customFormat="1" ht="24" customHeight="1">
      <c r="A69" s="832" t="s">
        <v>742</v>
      </c>
      <c r="B69" s="829" t="s">
        <v>743</v>
      </c>
      <c r="C69" s="849">
        <f t="shared" si="18"/>
        <v>29192417</v>
      </c>
      <c r="D69" s="849">
        <v>18563126</v>
      </c>
      <c r="E69" s="849">
        <v>10629291</v>
      </c>
      <c r="F69" s="849">
        <v>3200</v>
      </c>
      <c r="G69" s="849">
        <v>1</v>
      </c>
      <c r="H69" s="849">
        <f t="shared" si="19"/>
        <v>29189217</v>
      </c>
      <c r="I69" s="849">
        <f>J69+K69+L69+M69+N69+O69+P69+Q69</f>
        <v>21743559</v>
      </c>
      <c r="J69" s="849">
        <v>4278494</v>
      </c>
      <c r="K69" s="849">
        <v>3662286</v>
      </c>
      <c r="L69" s="849"/>
      <c r="M69" s="849">
        <v>13793069</v>
      </c>
      <c r="N69" s="849"/>
      <c r="O69" s="849">
        <v>9710</v>
      </c>
      <c r="P69" s="849"/>
      <c r="Q69" s="849"/>
      <c r="R69" s="849">
        <v>7445658</v>
      </c>
      <c r="S69" s="805">
        <f t="shared" si="2"/>
        <v>21248437</v>
      </c>
      <c r="T69" s="806">
        <f t="shared" si="3"/>
        <v>36.52014833450218</v>
      </c>
      <c r="U69" s="678"/>
    </row>
    <row r="70" spans="1:21" s="668" customFormat="1" ht="24" customHeight="1">
      <c r="A70" s="832" t="s">
        <v>828</v>
      </c>
      <c r="B70" s="829" t="s">
        <v>735</v>
      </c>
      <c r="C70" s="849">
        <f t="shared" si="18"/>
        <v>24738942</v>
      </c>
      <c r="D70" s="849">
        <v>17466399</v>
      </c>
      <c r="E70" s="849">
        <v>7272543</v>
      </c>
      <c r="F70" s="849"/>
      <c r="G70" s="849"/>
      <c r="H70" s="849">
        <f t="shared" si="19"/>
        <v>24738942</v>
      </c>
      <c r="I70" s="849">
        <f>J70+K70+L70+M70+N70+O70+P70+Q70</f>
        <v>20442958</v>
      </c>
      <c r="J70" s="849">
        <v>3321061</v>
      </c>
      <c r="K70" s="849">
        <v>1128956</v>
      </c>
      <c r="L70" s="849"/>
      <c r="M70" s="849">
        <v>15992941</v>
      </c>
      <c r="N70" s="849"/>
      <c r="O70" s="849"/>
      <c r="P70" s="849"/>
      <c r="Q70" s="849"/>
      <c r="R70" s="849">
        <v>4295984</v>
      </c>
      <c r="S70" s="805">
        <f t="shared" si="2"/>
        <v>20288925</v>
      </c>
      <c r="T70" s="806">
        <f t="shared" si="3"/>
        <v>21.767970173396627</v>
      </c>
      <c r="U70" s="667"/>
    </row>
    <row r="71" spans="1:21" s="874" customFormat="1" ht="24" customHeight="1">
      <c r="A71" s="868">
        <v>9</v>
      </c>
      <c r="B71" s="875" t="s">
        <v>744</v>
      </c>
      <c r="C71" s="870">
        <f t="shared" si="18"/>
        <v>14623034</v>
      </c>
      <c r="D71" s="870">
        <f aca="true" t="shared" si="21" ref="D71:R71">SUM(D72:D74)</f>
        <v>10696272</v>
      </c>
      <c r="E71" s="870">
        <f t="shared" si="21"/>
        <v>3926762</v>
      </c>
      <c r="F71" s="870">
        <f t="shared" si="21"/>
        <v>1555413</v>
      </c>
      <c r="G71" s="870">
        <f t="shared" si="21"/>
        <v>0</v>
      </c>
      <c r="H71" s="870">
        <f t="shared" si="19"/>
        <v>13067621</v>
      </c>
      <c r="I71" s="870">
        <f>SUM(J71:Q71)</f>
        <v>11923512</v>
      </c>
      <c r="J71" s="870">
        <f t="shared" si="21"/>
        <v>1722271</v>
      </c>
      <c r="K71" s="870">
        <f t="shared" si="21"/>
        <v>1882284</v>
      </c>
      <c r="L71" s="870">
        <f t="shared" si="21"/>
        <v>0</v>
      </c>
      <c r="M71" s="870">
        <f t="shared" si="21"/>
        <v>8318957</v>
      </c>
      <c r="N71" s="870">
        <f t="shared" si="21"/>
        <v>0</v>
      </c>
      <c r="O71" s="870">
        <f t="shared" si="21"/>
        <v>0</v>
      </c>
      <c r="P71" s="870">
        <f t="shared" si="21"/>
        <v>0</v>
      </c>
      <c r="Q71" s="870">
        <f t="shared" si="21"/>
        <v>0</v>
      </c>
      <c r="R71" s="870">
        <f t="shared" si="21"/>
        <v>1144109</v>
      </c>
      <c r="S71" s="871">
        <f t="shared" si="2"/>
        <v>9463066</v>
      </c>
      <c r="T71" s="872">
        <f t="shared" si="3"/>
        <v>30.23064848678812</v>
      </c>
      <c r="U71" s="873"/>
    </row>
    <row r="72" spans="1:21" s="668" customFormat="1" ht="24" customHeight="1">
      <c r="A72" s="832" t="s">
        <v>745</v>
      </c>
      <c r="B72" s="822" t="s">
        <v>746</v>
      </c>
      <c r="C72" s="850">
        <f>SUM(D72:E72)</f>
        <v>3732263</v>
      </c>
      <c r="D72" s="850">
        <v>3380007</v>
      </c>
      <c r="E72" s="850">
        <f>32532+55757+10605+142185+21125+45286+6100+12225+26621-180</f>
        <v>352256</v>
      </c>
      <c r="F72" s="850">
        <f>9405+200</f>
        <v>9605</v>
      </c>
      <c r="G72" s="850">
        <v>0</v>
      </c>
      <c r="H72" s="850">
        <f t="shared" si="19"/>
        <v>3722658</v>
      </c>
      <c r="I72" s="850">
        <f>SUM(J72:Q72)</f>
        <v>3417704</v>
      </c>
      <c r="J72" s="850">
        <f>29384+40732+256371+7900+3300+26345+30+147521+66800+18625+9821</f>
        <v>606829</v>
      </c>
      <c r="K72" s="850">
        <f>73600+240000+100600+4900</f>
        <v>419100</v>
      </c>
      <c r="L72" s="850">
        <v>0</v>
      </c>
      <c r="M72" s="850">
        <f>C72-J72-K72-L72-N72-O72-P72-Q72-R72-F72-G72</f>
        <v>2391775</v>
      </c>
      <c r="N72" s="850">
        <v>0</v>
      </c>
      <c r="O72" s="850">
        <v>0</v>
      </c>
      <c r="P72" s="850">
        <v>0</v>
      </c>
      <c r="Q72" s="851">
        <v>0</v>
      </c>
      <c r="R72" s="852">
        <f>818630-480000-1000+47824-100600+25000-4900</f>
        <v>304954</v>
      </c>
      <c r="S72" s="805">
        <f t="shared" si="2"/>
        <v>2696729</v>
      </c>
      <c r="T72" s="806">
        <f t="shared" si="3"/>
        <v>30.01807646302898</v>
      </c>
      <c r="U72" s="667"/>
    </row>
    <row r="73" spans="1:21" s="679" customFormat="1" ht="24" customHeight="1">
      <c r="A73" s="832" t="s">
        <v>747</v>
      </c>
      <c r="B73" s="822" t="s">
        <v>748</v>
      </c>
      <c r="C73" s="850">
        <f>SUM(D73:E73)</f>
        <v>7648528</v>
      </c>
      <c r="D73" s="850">
        <v>4403090</v>
      </c>
      <c r="E73" s="850">
        <f>112368+20143+73470+5600+7500+19731+2906026+2100+2700+95800</f>
        <v>3245438</v>
      </c>
      <c r="F73" s="850">
        <f>1542408</f>
        <v>1542408</v>
      </c>
      <c r="G73" s="850">
        <v>0</v>
      </c>
      <c r="H73" s="850">
        <f t="shared" si="19"/>
        <v>6106120</v>
      </c>
      <c r="I73" s="850">
        <f>SUM(J73:Q73)</f>
        <v>5770983</v>
      </c>
      <c r="J73" s="850">
        <f>7887+1600+22700+33979+6000+48965+184949+528602+41100-2800+9350</f>
        <v>882332</v>
      </c>
      <c r="K73" s="850">
        <f>15000+52717+1309581+3081</f>
        <v>1380379</v>
      </c>
      <c r="L73" s="850">
        <v>0</v>
      </c>
      <c r="M73" s="850">
        <f>C73-J73-K73-L73-N73-O73-P73-Q73-R73-F73-G73</f>
        <v>3508272</v>
      </c>
      <c r="N73" s="850">
        <v>0</v>
      </c>
      <c r="O73" s="850">
        <v>0</v>
      </c>
      <c r="P73" s="850">
        <v>0</v>
      </c>
      <c r="Q73" s="851">
        <v>0</v>
      </c>
      <c r="R73" s="852">
        <f>390935-52717-3081</f>
        <v>335137</v>
      </c>
      <c r="S73" s="805">
        <f t="shared" si="2"/>
        <v>3843409</v>
      </c>
      <c r="T73" s="806">
        <f t="shared" si="3"/>
        <v>39.20841562000789</v>
      </c>
      <c r="U73" s="678"/>
    </row>
    <row r="74" spans="1:21" s="668" customFormat="1" ht="24" customHeight="1">
      <c r="A74" s="832" t="s">
        <v>749</v>
      </c>
      <c r="B74" s="822" t="s">
        <v>750</v>
      </c>
      <c r="C74" s="850">
        <f>SUM(D74:E74)</f>
        <v>3242243</v>
      </c>
      <c r="D74" s="850">
        <v>2913175</v>
      </c>
      <c r="E74" s="850">
        <f>15325+13000+156405+51258+51458+25972+2000+4200+9450</f>
        <v>329068</v>
      </c>
      <c r="F74" s="850">
        <f>3400</f>
        <v>3400</v>
      </c>
      <c r="G74" s="850">
        <v>0</v>
      </c>
      <c r="H74" s="850">
        <f t="shared" si="19"/>
        <v>3238843</v>
      </c>
      <c r="I74" s="850">
        <f>SUM(J74:Q74)</f>
        <v>2734825</v>
      </c>
      <c r="J74" s="850">
        <f>9225+3700+11150+66704+1000+2950+92601+32980+5500+7300</f>
        <v>233110</v>
      </c>
      <c r="K74" s="850">
        <f>82805</f>
        <v>82805</v>
      </c>
      <c r="L74" s="850">
        <v>0</v>
      </c>
      <c r="M74" s="850">
        <f>C74-J74-K74-L74-N74-O74-P74-Q74-R74-F74-G74</f>
        <v>2418910</v>
      </c>
      <c r="N74" s="850">
        <v>0</v>
      </c>
      <c r="O74" s="850">
        <v>0</v>
      </c>
      <c r="P74" s="850">
        <v>0</v>
      </c>
      <c r="Q74" s="851">
        <v>0</v>
      </c>
      <c r="R74" s="852">
        <f>571173-29780+411-37786</f>
        <v>504018</v>
      </c>
      <c r="S74" s="805">
        <f t="shared" si="2"/>
        <v>2922928</v>
      </c>
      <c r="T74" s="806">
        <f t="shared" si="3"/>
        <v>11.55156180011518</v>
      </c>
      <c r="U74" s="667"/>
    </row>
    <row r="75" spans="1:21" s="874" customFormat="1" ht="24" customHeight="1">
      <c r="A75" s="868">
        <v>10</v>
      </c>
      <c r="B75" s="875" t="s">
        <v>751</v>
      </c>
      <c r="C75" s="870">
        <f t="shared" si="18"/>
        <v>469570504</v>
      </c>
      <c r="D75" s="870">
        <f aca="true" t="shared" si="22" ref="D75:R75">SUM(D76:D84)</f>
        <v>387231178</v>
      </c>
      <c r="E75" s="870">
        <f t="shared" si="22"/>
        <v>82339326</v>
      </c>
      <c r="F75" s="870">
        <f t="shared" si="22"/>
        <v>22336362</v>
      </c>
      <c r="G75" s="870">
        <f t="shared" si="22"/>
        <v>12563018</v>
      </c>
      <c r="H75" s="870">
        <f t="shared" si="19"/>
        <v>447234142</v>
      </c>
      <c r="I75" s="870">
        <f>SUM(J75:Q75)</f>
        <v>182565844</v>
      </c>
      <c r="J75" s="870">
        <f t="shared" si="22"/>
        <v>15045728</v>
      </c>
      <c r="K75" s="870">
        <f t="shared" si="22"/>
        <v>54068020</v>
      </c>
      <c r="L75" s="870">
        <f t="shared" si="22"/>
        <v>22756</v>
      </c>
      <c r="M75" s="870">
        <f t="shared" si="22"/>
        <v>109741504</v>
      </c>
      <c r="N75" s="870">
        <f t="shared" si="22"/>
        <v>198782</v>
      </c>
      <c r="O75" s="870">
        <f t="shared" si="22"/>
        <v>30819</v>
      </c>
      <c r="P75" s="870">
        <f t="shared" si="22"/>
        <v>0</v>
      </c>
      <c r="Q75" s="870">
        <f t="shared" si="22"/>
        <v>3458235</v>
      </c>
      <c r="R75" s="870">
        <f t="shared" si="22"/>
        <v>264668298</v>
      </c>
      <c r="S75" s="871">
        <f t="shared" si="2"/>
        <v>378097638</v>
      </c>
      <c r="T75" s="872">
        <f t="shared" si="3"/>
        <v>37.86935304283971</v>
      </c>
      <c r="U75" s="873"/>
    </row>
    <row r="76" spans="1:21" s="668" customFormat="1" ht="24" customHeight="1">
      <c r="A76" s="832" t="s">
        <v>779</v>
      </c>
      <c r="B76" s="762" t="s">
        <v>718</v>
      </c>
      <c r="C76" s="853">
        <v>220805</v>
      </c>
      <c r="D76" s="853">
        <v>212436</v>
      </c>
      <c r="E76" s="853">
        <v>8369</v>
      </c>
      <c r="F76" s="853">
        <v>0</v>
      </c>
      <c r="G76" s="853">
        <v>5355491</v>
      </c>
      <c r="H76" s="853">
        <v>220805</v>
      </c>
      <c r="I76" s="853">
        <v>98627</v>
      </c>
      <c r="J76" s="853">
        <v>37568</v>
      </c>
      <c r="K76" s="853">
        <v>0</v>
      </c>
      <c r="L76" s="853">
        <v>0</v>
      </c>
      <c r="M76" s="853">
        <v>61059</v>
      </c>
      <c r="N76" s="853">
        <v>0</v>
      </c>
      <c r="O76" s="853">
        <v>0</v>
      </c>
      <c r="P76" s="853">
        <v>0</v>
      </c>
      <c r="Q76" s="853">
        <v>0</v>
      </c>
      <c r="R76" s="853">
        <v>122178</v>
      </c>
      <c r="S76" s="805">
        <f aca="true" t="shared" si="23" ref="S76:S111">SUM(M76:R76)</f>
        <v>183237</v>
      </c>
      <c r="T76" s="806">
        <f aca="true" t="shared" si="24" ref="T76:T111">SUM(J76:L76)/I76*100</f>
        <v>38.090989282853585</v>
      </c>
      <c r="U76" s="667"/>
    </row>
    <row r="77" spans="1:21" s="679" customFormat="1" ht="24" customHeight="1">
      <c r="A77" s="832" t="s">
        <v>863</v>
      </c>
      <c r="B77" s="762" t="s">
        <v>829</v>
      </c>
      <c r="C77" s="853">
        <v>205629182</v>
      </c>
      <c r="D77" s="853">
        <v>154634390</v>
      </c>
      <c r="E77" s="853">
        <v>50994792</v>
      </c>
      <c r="F77" s="853">
        <v>320125</v>
      </c>
      <c r="G77" s="853">
        <v>7207527</v>
      </c>
      <c r="H77" s="853">
        <v>205309057</v>
      </c>
      <c r="I77" s="853">
        <v>57561991</v>
      </c>
      <c r="J77" s="853">
        <v>1186582</v>
      </c>
      <c r="K77" s="853">
        <v>45846116</v>
      </c>
      <c r="L77" s="853">
        <v>0</v>
      </c>
      <c r="M77" s="853">
        <v>10529293</v>
      </c>
      <c r="N77" s="853">
        <v>0</v>
      </c>
      <c r="O77" s="853">
        <v>0</v>
      </c>
      <c r="P77" s="853">
        <v>0</v>
      </c>
      <c r="Q77" s="853">
        <v>0</v>
      </c>
      <c r="R77" s="853">
        <v>147747066</v>
      </c>
      <c r="S77" s="805">
        <f t="shared" si="23"/>
        <v>158276359</v>
      </c>
      <c r="T77" s="806">
        <f t="shared" si="24"/>
        <v>81.70790687208857</v>
      </c>
      <c r="U77" s="678"/>
    </row>
    <row r="78" spans="1:21" s="668" customFormat="1" ht="24" customHeight="1">
      <c r="A78" s="832" t="s">
        <v>780</v>
      </c>
      <c r="B78" s="762" t="s">
        <v>752</v>
      </c>
      <c r="C78" s="853">
        <v>26838164</v>
      </c>
      <c r="D78" s="853">
        <v>23798457</v>
      </c>
      <c r="E78" s="853">
        <v>3039707</v>
      </c>
      <c r="F78" s="853">
        <v>0</v>
      </c>
      <c r="G78" s="853">
        <v>0</v>
      </c>
      <c r="H78" s="853">
        <v>26838164</v>
      </c>
      <c r="I78" s="853">
        <v>25655324</v>
      </c>
      <c r="J78" s="853">
        <v>9157259</v>
      </c>
      <c r="K78" s="853">
        <v>7305895</v>
      </c>
      <c r="L78" s="853">
        <v>0</v>
      </c>
      <c r="M78" s="853">
        <v>6505586</v>
      </c>
      <c r="N78" s="853">
        <v>0</v>
      </c>
      <c r="O78" s="853">
        <v>30819</v>
      </c>
      <c r="P78" s="853">
        <v>0</v>
      </c>
      <c r="Q78" s="853">
        <v>2655765</v>
      </c>
      <c r="R78" s="853">
        <v>1182840</v>
      </c>
      <c r="S78" s="805">
        <f t="shared" si="23"/>
        <v>10375010</v>
      </c>
      <c r="T78" s="806">
        <f t="shared" si="24"/>
        <v>64.17051680968832</v>
      </c>
      <c r="U78" s="667"/>
    </row>
    <row r="79" spans="1:21" s="668" customFormat="1" ht="24" customHeight="1">
      <c r="A79" s="832" t="s">
        <v>781</v>
      </c>
      <c r="B79" s="762" t="s">
        <v>830</v>
      </c>
      <c r="C79" s="853">
        <v>7898966</v>
      </c>
      <c r="D79" s="853">
        <v>7724411</v>
      </c>
      <c r="E79" s="853">
        <v>174555</v>
      </c>
      <c r="F79" s="853">
        <v>98039</v>
      </c>
      <c r="G79" s="853">
        <v>0</v>
      </c>
      <c r="H79" s="853">
        <v>7800927</v>
      </c>
      <c r="I79" s="853">
        <v>6075275</v>
      </c>
      <c r="J79" s="853">
        <v>125891</v>
      </c>
      <c r="K79" s="853">
        <v>28207</v>
      </c>
      <c r="L79" s="853">
        <v>22756</v>
      </c>
      <c r="M79" s="853">
        <v>5095951</v>
      </c>
      <c r="N79" s="853">
        <v>0</v>
      </c>
      <c r="O79" s="853">
        <v>0</v>
      </c>
      <c r="P79" s="853">
        <v>0</v>
      </c>
      <c r="Q79" s="853">
        <v>802470</v>
      </c>
      <c r="R79" s="853">
        <v>1725652</v>
      </c>
      <c r="S79" s="805">
        <f t="shared" si="23"/>
        <v>7624073</v>
      </c>
      <c r="T79" s="806">
        <f t="shared" si="24"/>
        <v>2.9110451790248177</v>
      </c>
      <c r="U79" s="667"/>
    </row>
    <row r="80" spans="1:21" s="668" customFormat="1" ht="24" customHeight="1">
      <c r="A80" s="832" t="s">
        <v>782</v>
      </c>
      <c r="B80" s="762" t="s">
        <v>753</v>
      </c>
      <c r="C80" s="853">
        <v>39382341</v>
      </c>
      <c r="D80" s="853">
        <v>38213842</v>
      </c>
      <c r="E80" s="853">
        <v>1168499</v>
      </c>
      <c r="F80" s="853">
        <v>1856762</v>
      </c>
      <c r="G80" s="853">
        <v>0</v>
      </c>
      <c r="H80" s="853">
        <v>37525579</v>
      </c>
      <c r="I80" s="853">
        <v>36726515</v>
      </c>
      <c r="J80" s="853">
        <v>2579614</v>
      </c>
      <c r="K80" s="853">
        <v>28494</v>
      </c>
      <c r="L80" s="853">
        <v>0</v>
      </c>
      <c r="M80" s="853">
        <v>34118407</v>
      </c>
      <c r="N80" s="853">
        <v>0</v>
      </c>
      <c r="O80" s="853">
        <v>0</v>
      </c>
      <c r="P80" s="853">
        <v>0</v>
      </c>
      <c r="Q80" s="853">
        <v>0</v>
      </c>
      <c r="R80" s="853">
        <v>799064</v>
      </c>
      <c r="S80" s="805">
        <f t="shared" si="23"/>
        <v>34917471</v>
      </c>
      <c r="T80" s="806">
        <f t="shared" si="24"/>
        <v>7.101430669367895</v>
      </c>
      <c r="U80" s="667"/>
    </row>
    <row r="81" spans="1:21" s="668" customFormat="1" ht="24" customHeight="1">
      <c r="A81" s="832" t="s">
        <v>783</v>
      </c>
      <c r="B81" s="762" t="s">
        <v>755</v>
      </c>
      <c r="C81" s="853">
        <v>76868054</v>
      </c>
      <c r="D81" s="853">
        <v>76618784</v>
      </c>
      <c r="E81" s="853">
        <v>249270</v>
      </c>
      <c r="F81" s="853">
        <v>45556</v>
      </c>
      <c r="G81" s="853">
        <v>0</v>
      </c>
      <c r="H81" s="853">
        <v>76822498</v>
      </c>
      <c r="I81" s="853">
        <v>6982946</v>
      </c>
      <c r="J81" s="853">
        <v>1302451</v>
      </c>
      <c r="K81" s="853">
        <v>284700</v>
      </c>
      <c r="L81" s="853">
        <v>0</v>
      </c>
      <c r="M81" s="853">
        <v>5344566</v>
      </c>
      <c r="N81" s="853">
        <v>51229</v>
      </c>
      <c r="O81" s="853">
        <v>0</v>
      </c>
      <c r="P81" s="853">
        <v>0</v>
      </c>
      <c r="Q81" s="853">
        <v>0</v>
      </c>
      <c r="R81" s="853">
        <v>69839552</v>
      </c>
      <c r="S81" s="805">
        <f t="shared" si="23"/>
        <v>75235347</v>
      </c>
      <c r="T81" s="806">
        <f t="shared" si="24"/>
        <v>22.72895995472398</v>
      </c>
      <c r="U81" s="667"/>
    </row>
    <row r="82" spans="1:21" s="668" customFormat="1" ht="24" customHeight="1">
      <c r="A82" s="832" t="s">
        <v>754</v>
      </c>
      <c r="B82" s="763" t="s">
        <v>831</v>
      </c>
      <c r="C82" s="854">
        <v>48519530</v>
      </c>
      <c r="D82" s="854">
        <v>23806627</v>
      </c>
      <c r="E82" s="854">
        <v>24712903</v>
      </c>
      <c r="F82" s="854">
        <v>19148826</v>
      </c>
      <c r="G82" s="854">
        <v>0</v>
      </c>
      <c r="H82" s="854">
        <v>29370704</v>
      </c>
      <c r="I82" s="854">
        <v>12214543</v>
      </c>
      <c r="J82" s="854">
        <v>369219</v>
      </c>
      <c r="K82" s="854">
        <v>532645</v>
      </c>
      <c r="L82" s="854">
        <v>0</v>
      </c>
      <c r="M82" s="854">
        <v>11165126</v>
      </c>
      <c r="N82" s="854">
        <v>147553</v>
      </c>
      <c r="O82" s="854">
        <v>0</v>
      </c>
      <c r="P82" s="854">
        <v>0</v>
      </c>
      <c r="Q82" s="854">
        <v>0</v>
      </c>
      <c r="R82" s="854">
        <v>17156161</v>
      </c>
      <c r="S82" s="805">
        <f t="shared" si="23"/>
        <v>28468840</v>
      </c>
      <c r="T82" s="806">
        <f t="shared" si="24"/>
        <v>7.383526342328158</v>
      </c>
      <c r="U82" s="667"/>
    </row>
    <row r="83" spans="1:21" s="668" customFormat="1" ht="24" customHeight="1">
      <c r="A83" s="832" t="s">
        <v>756</v>
      </c>
      <c r="B83" s="762" t="s">
        <v>832</v>
      </c>
      <c r="C83" s="853">
        <v>55422775</v>
      </c>
      <c r="D83" s="853">
        <v>53579481</v>
      </c>
      <c r="E83" s="853">
        <v>1843294</v>
      </c>
      <c r="F83" s="853">
        <v>0</v>
      </c>
      <c r="G83" s="853">
        <v>0</v>
      </c>
      <c r="H83" s="853">
        <v>55422775</v>
      </c>
      <c r="I83" s="853">
        <v>32062019</v>
      </c>
      <c r="J83" s="853">
        <v>137069</v>
      </c>
      <c r="K83" s="853">
        <v>7813</v>
      </c>
      <c r="L83" s="853">
        <v>0</v>
      </c>
      <c r="M83" s="853">
        <v>31917137</v>
      </c>
      <c r="N83" s="853">
        <v>0</v>
      </c>
      <c r="O83" s="853">
        <v>0</v>
      </c>
      <c r="P83" s="853">
        <v>0</v>
      </c>
      <c r="Q83" s="853">
        <v>0</v>
      </c>
      <c r="R83" s="853">
        <v>23360756</v>
      </c>
      <c r="S83" s="805">
        <f t="shared" si="23"/>
        <v>55277893</v>
      </c>
      <c r="T83" s="806">
        <f t="shared" si="24"/>
        <v>0.4518804632983344</v>
      </c>
      <c r="U83" s="667"/>
    </row>
    <row r="84" spans="1:21" s="668" customFormat="1" ht="24" customHeight="1">
      <c r="A84" s="832" t="s">
        <v>757</v>
      </c>
      <c r="B84" s="762" t="s">
        <v>758</v>
      </c>
      <c r="C84" s="853">
        <v>8790687</v>
      </c>
      <c r="D84" s="853">
        <v>8642750</v>
      </c>
      <c r="E84" s="853">
        <v>147937</v>
      </c>
      <c r="F84" s="853">
        <v>867054</v>
      </c>
      <c r="G84" s="853">
        <v>0</v>
      </c>
      <c r="H84" s="853">
        <v>7923633</v>
      </c>
      <c r="I84" s="853">
        <v>5188604</v>
      </c>
      <c r="J84" s="853">
        <v>150075</v>
      </c>
      <c r="K84" s="853">
        <v>34150</v>
      </c>
      <c r="L84" s="853">
        <v>0</v>
      </c>
      <c r="M84" s="853">
        <v>5004379</v>
      </c>
      <c r="N84" s="853">
        <v>0</v>
      </c>
      <c r="O84" s="853">
        <v>0</v>
      </c>
      <c r="P84" s="853">
        <v>0</v>
      </c>
      <c r="Q84" s="853">
        <v>0</v>
      </c>
      <c r="R84" s="853">
        <v>2735029</v>
      </c>
      <c r="S84" s="805">
        <f t="shared" si="23"/>
        <v>7739408</v>
      </c>
      <c r="T84" s="806">
        <f t="shared" si="24"/>
        <v>3.5505696715340007</v>
      </c>
      <c r="U84" s="667"/>
    </row>
    <row r="85" spans="1:21" s="874" customFormat="1" ht="24" customHeight="1">
      <c r="A85" s="868">
        <v>11</v>
      </c>
      <c r="B85" s="875" t="s">
        <v>759</v>
      </c>
      <c r="C85" s="870">
        <f>D85+E85</f>
        <v>11387367</v>
      </c>
      <c r="D85" s="870">
        <f aca="true" t="shared" si="25" ref="D85:R85">SUM(D86:D87)</f>
        <v>9903693</v>
      </c>
      <c r="E85" s="870">
        <f t="shared" si="25"/>
        <v>1483674</v>
      </c>
      <c r="F85" s="870">
        <f t="shared" si="25"/>
        <v>5200</v>
      </c>
      <c r="G85" s="870">
        <f t="shared" si="25"/>
        <v>0</v>
      </c>
      <c r="H85" s="870">
        <f>I85+R85</f>
        <v>11382167</v>
      </c>
      <c r="I85" s="870">
        <f>SUM(J85:Q85)</f>
        <v>7371110</v>
      </c>
      <c r="J85" s="870">
        <f t="shared" si="25"/>
        <v>343545</v>
      </c>
      <c r="K85" s="870">
        <f t="shared" si="25"/>
        <v>1127399</v>
      </c>
      <c r="L85" s="870">
        <f t="shared" si="25"/>
        <v>0</v>
      </c>
      <c r="M85" s="870">
        <f t="shared" si="25"/>
        <v>5661092</v>
      </c>
      <c r="N85" s="870">
        <f t="shared" si="25"/>
        <v>0</v>
      </c>
      <c r="O85" s="870">
        <f t="shared" si="25"/>
        <v>0</v>
      </c>
      <c r="P85" s="870">
        <f t="shared" si="25"/>
        <v>0</v>
      </c>
      <c r="Q85" s="870">
        <f t="shared" si="25"/>
        <v>239074</v>
      </c>
      <c r="R85" s="870">
        <f t="shared" si="25"/>
        <v>4011057</v>
      </c>
      <c r="S85" s="871">
        <f t="shared" si="23"/>
        <v>9911223</v>
      </c>
      <c r="T85" s="872">
        <f t="shared" si="24"/>
        <v>19.955529085850028</v>
      </c>
      <c r="U85" s="873"/>
    </row>
    <row r="86" spans="1:21" s="668" customFormat="1" ht="24" customHeight="1">
      <c r="A86" s="832" t="s">
        <v>760</v>
      </c>
      <c r="B86" s="829" t="s">
        <v>761</v>
      </c>
      <c r="C86" s="845">
        <v>7186909</v>
      </c>
      <c r="D86" s="845">
        <v>6306675</v>
      </c>
      <c r="E86" s="845">
        <v>880234</v>
      </c>
      <c r="F86" s="845">
        <v>5200</v>
      </c>
      <c r="G86" s="845">
        <v>0</v>
      </c>
      <c r="H86" s="845">
        <v>7181709</v>
      </c>
      <c r="I86" s="845">
        <v>3746668</v>
      </c>
      <c r="J86" s="845">
        <v>278699</v>
      </c>
      <c r="K86" s="845">
        <v>1127399</v>
      </c>
      <c r="L86" s="845">
        <v>0</v>
      </c>
      <c r="M86" s="845">
        <v>2156096</v>
      </c>
      <c r="N86" s="845">
        <v>0</v>
      </c>
      <c r="O86" s="845">
        <v>0</v>
      </c>
      <c r="P86" s="845">
        <v>0</v>
      </c>
      <c r="Q86" s="846">
        <v>184474</v>
      </c>
      <c r="R86" s="847">
        <v>3435041</v>
      </c>
      <c r="S86" s="805">
        <f t="shared" si="23"/>
        <v>5775611</v>
      </c>
      <c r="T86" s="806">
        <f t="shared" si="24"/>
        <v>37.529292694201885</v>
      </c>
      <c r="U86" s="667"/>
    </row>
    <row r="87" spans="1:21" s="679" customFormat="1" ht="24" customHeight="1">
      <c r="A87" s="832" t="s">
        <v>762</v>
      </c>
      <c r="B87" s="829" t="s">
        <v>763</v>
      </c>
      <c r="C87" s="845">
        <v>4200458</v>
      </c>
      <c r="D87" s="845">
        <v>3597018</v>
      </c>
      <c r="E87" s="845">
        <v>603440</v>
      </c>
      <c r="F87" s="845">
        <v>0</v>
      </c>
      <c r="G87" s="845">
        <v>0</v>
      </c>
      <c r="H87" s="845">
        <v>4200458</v>
      </c>
      <c r="I87" s="845">
        <f>J87+K87+L87+M87+N87+O87+P87+Q87</f>
        <v>3624442</v>
      </c>
      <c r="J87" s="845">
        <v>64846</v>
      </c>
      <c r="K87" s="845">
        <v>0</v>
      </c>
      <c r="L87" s="845">
        <v>0</v>
      </c>
      <c r="M87" s="845">
        <v>3504996</v>
      </c>
      <c r="N87" s="845">
        <v>0</v>
      </c>
      <c r="O87" s="845">
        <v>0</v>
      </c>
      <c r="P87" s="845">
        <v>0</v>
      </c>
      <c r="Q87" s="846">
        <v>54600</v>
      </c>
      <c r="R87" s="847">
        <v>576016</v>
      </c>
      <c r="S87" s="805">
        <f t="shared" si="23"/>
        <v>4135612</v>
      </c>
      <c r="T87" s="806">
        <f t="shared" si="24"/>
        <v>1.7891305751340483</v>
      </c>
      <c r="U87" s="678"/>
    </row>
    <row r="88" spans="1:21" s="874" customFormat="1" ht="24" customHeight="1">
      <c r="A88" s="868">
        <v>12</v>
      </c>
      <c r="B88" s="875" t="s">
        <v>765</v>
      </c>
      <c r="C88" s="870">
        <f aca="true" t="shared" si="26" ref="C88:C103">D88+E88</f>
        <v>34430741</v>
      </c>
      <c r="D88" s="870">
        <f aca="true" t="shared" si="27" ref="D88:R88">SUM(D89:D91)</f>
        <v>19532182</v>
      </c>
      <c r="E88" s="870">
        <f t="shared" si="27"/>
        <v>14898559</v>
      </c>
      <c r="F88" s="870">
        <f t="shared" si="27"/>
        <v>1284139</v>
      </c>
      <c r="G88" s="870">
        <f t="shared" si="27"/>
        <v>0</v>
      </c>
      <c r="H88" s="870">
        <f>I88+R88</f>
        <v>33146602</v>
      </c>
      <c r="I88" s="870">
        <f>SUM(J88:Q88)</f>
        <v>30600243</v>
      </c>
      <c r="J88" s="870">
        <f t="shared" si="27"/>
        <v>4489360</v>
      </c>
      <c r="K88" s="870">
        <f t="shared" si="27"/>
        <v>3626561</v>
      </c>
      <c r="L88" s="870">
        <f t="shared" si="27"/>
        <v>0</v>
      </c>
      <c r="M88" s="870">
        <f t="shared" si="27"/>
        <v>22484322</v>
      </c>
      <c r="N88" s="870">
        <f t="shared" si="27"/>
        <v>0</v>
      </c>
      <c r="O88" s="870">
        <f t="shared" si="27"/>
        <v>0</v>
      </c>
      <c r="P88" s="870">
        <f t="shared" si="27"/>
        <v>0</v>
      </c>
      <c r="Q88" s="870">
        <f t="shared" si="27"/>
        <v>0</v>
      </c>
      <c r="R88" s="870">
        <f t="shared" si="27"/>
        <v>2546359</v>
      </c>
      <c r="S88" s="871">
        <f t="shared" si="23"/>
        <v>25030681</v>
      </c>
      <c r="T88" s="872">
        <f t="shared" si="24"/>
        <v>26.52240702794419</v>
      </c>
      <c r="U88" s="873"/>
    </row>
    <row r="89" spans="1:21" s="668" customFormat="1" ht="24" customHeight="1">
      <c r="A89" s="807">
        <v>12.1</v>
      </c>
      <c r="B89" s="855" t="s">
        <v>805</v>
      </c>
      <c r="C89" s="849">
        <f t="shared" si="26"/>
        <v>13167560</v>
      </c>
      <c r="D89" s="849">
        <v>10809743</v>
      </c>
      <c r="E89" s="849">
        <v>2357817</v>
      </c>
      <c r="F89" s="849">
        <v>0</v>
      </c>
      <c r="G89" s="849">
        <v>0</v>
      </c>
      <c r="H89" s="849">
        <f>C89-F89-G89</f>
        <v>13167560</v>
      </c>
      <c r="I89" s="849">
        <f>H89-R89</f>
        <v>13023470</v>
      </c>
      <c r="J89" s="849">
        <v>2409570</v>
      </c>
      <c r="K89" s="849">
        <v>663862</v>
      </c>
      <c r="L89" s="849"/>
      <c r="M89" s="849">
        <f>I89-J89-K89-N89</f>
        <v>9950038</v>
      </c>
      <c r="N89" s="849"/>
      <c r="O89" s="849"/>
      <c r="P89" s="849"/>
      <c r="Q89" s="849"/>
      <c r="R89" s="849">
        <v>144090</v>
      </c>
      <c r="S89" s="805">
        <f t="shared" si="23"/>
        <v>10094128</v>
      </c>
      <c r="T89" s="806">
        <f t="shared" si="24"/>
        <v>23.599179020645035</v>
      </c>
      <c r="U89" s="667"/>
    </row>
    <row r="90" spans="1:21" s="679" customFormat="1" ht="24" customHeight="1">
      <c r="A90" s="807">
        <v>12.2</v>
      </c>
      <c r="B90" s="855" t="s">
        <v>865</v>
      </c>
      <c r="C90" s="849">
        <f t="shared" si="26"/>
        <v>18260486</v>
      </c>
      <c r="D90" s="849">
        <v>7758895</v>
      </c>
      <c r="E90" s="849">
        <v>10501591</v>
      </c>
      <c r="F90" s="849">
        <v>1280939</v>
      </c>
      <c r="G90" s="849">
        <v>0</v>
      </c>
      <c r="H90" s="849">
        <f>C90-F90-G90</f>
        <v>16979547</v>
      </c>
      <c r="I90" s="849">
        <f>H90-R90</f>
        <v>14983022</v>
      </c>
      <c r="J90" s="849">
        <v>1837477</v>
      </c>
      <c r="K90" s="849">
        <v>2962699</v>
      </c>
      <c r="L90" s="849"/>
      <c r="M90" s="849">
        <f>I90-J90-K90-N90</f>
        <v>10182846</v>
      </c>
      <c r="N90" s="849">
        <v>0</v>
      </c>
      <c r="O90" s="849"/>
      <c r="P90" s="849"/>
      <c r="Q90" s="849"/>
      <c r="R90" s="849">
        <v>1996525</v>
      </c>
      <c r="S90" s="805">
        <f t="shared" si="23"/>
        <v>12179371</v>
      </c>
      <c r="T90" s="806">
        <f t="shared" si="24"/>
        <v>32.03743543859176</v>
      </c>
      <c r="U90" s="678"/>
    </row>
    <row r="91" spans="1:21" s="668" customFormat="1" ht="24" customHeight="1">
      <c r="A91" s="807">
        <v>12.3</v>
      </c>
      <c r="B91" s="855" t="s">
        <v>833</v>
      </c>
      <c r="C91" s="849">
        <f t="shared" si="26"/>
        <v>3002695</v>
      </c>
      <c r="D91" s="849">
        <v>963544</v>
      </c>
      <c r="E91" s="849">
        <v>2039151</v>
      </c>
      <c r="F91" s="849">
        <v>3200</v>
      </c>
      <c r="G91" s="849"/>
      <c r="H91" s="849">
        <f>C91-F91-G91</f>
        <v>2999495</v>
      </c>
      <c r="I91" s="849">
        <f>H91-R91</f>
        <v>2593751</v>
      </c>
      <c r="J91" s="849">
        <v>242313</v>
      </c>
      <c r="K91" s="849">
        <v>0</v>
      </c>
      <c r="L91" s="849"/>
      <c r="M91" s="849">
        <f>I91-J91-K91-N91</f>
        <v>2351438</v>
      </c>
      <c r="N91" s="849"/>
      <c r="O91" s="849"/>
      <c r="P91" s="849"/>
      <c r="Q91" s="849"/>
      <c r="R91" s="849">
        <v>405744</v>
      </c>
      <c r="S91" s="805">
        <f t="shared" si="23"/>
        <v>2757182</v>
      </c>
      <c r="T91" s="806">
        <f t="shared" si="24"/>
        <v>9.342184350001215</v>
      </c>
      <c r="U91" s="667"/>
    </row>
    <row r="92" spans="1:21" s="874" customFormat="1" ht="24" customHeight="1">
      <c r="A92" s="868">
        <v>13</v>
      </c>
      <c r="B92" s="875" t="s">
        <v>767</v>
      </c>
      <c r="C92" s="870">
        <f t="shared" si="26"/>
        <v>565884438</v>
      </c>
      <c r="D92" s="870">
        <f aca="true" t="shared" si="28" ref="D92:R92">SUM(D93:D103)</f>
        <v>394283023</v>
      </c>
      <c r="E92" s="870">
        <f t="shared" si="28"/>
        <v>171601415</v>
      </c>
      <c r="F92" s="870">
        <f t="shared" si="28"/>
        <v>55726</v>
      </c>
      <c r="G92" s="870">
        <f t="shared" si="28"/>
        <v>4538443</v>
      </c>
      <c r="H92" s="870">
        <f>I92+R92</f>
        <v>565828712</v>
      </c>
      <c r="I92" s="870">
        <f>SUM(J92:Q92)</f>
        <v>450142990</v>
      </c>
      <c r="J92" s="870">
        <f t="shared" si="28"/>
        <v>53150659</v>
      </c>
      <c r="K92" s="870">
        <f t="shared" si="28"/>
        <v>15452937</v>
      </c>
      <c r="L92" s="870">
        <f t="shared" si="28"/>
        <v>0</v>
      </c>
      <c r="M92" s="870">
        <f t="shared" si="28"/>
        <v>369087426</v>
      </c>
      <c r="N92" s="870">
        <f t="shared" si="28"/>
        <v>0</v>
      </c>
      <c r="O92" s="870">
        <f t="shared" si="28"/>
        <v>12451968</v>
      </c>
      <c r="P92" s="870">
        <f t="shared" si="28"/>
        <v>0</v>
      </c>
      <c r="Q92" s="870">
        <f t="shared" si="28"/>
        <v>0</v>
      </c>
      <c r="R92" s="870">
        <f t="shared" si="28"/>
        <v>115685722</v>
      </c>
      <c r="S92" s="871">
        <f t="shared" si="23"/>
        <v>497225116</v>
      </c>
      <c r="T92" s="872">
        <f t="shared" si="24"/>
        <v>15.24040083352181</v>
      </c>
      <c r="U92" s="873"/>
    </row>
    <row r="93" spans="1:21" s="668" customFormat="1" ht="24" customHeight="1">
      <c r="A93" s="807">
        <v>13.1</v>
      </c>
      <c r="B93" s="856" t="s">
        <v>768</v>
      </c>
      <c r="C93" s="827">
        <f t="shared" si="26"/>
        <v>74132439</v>
      </c>
      <c r="D93" s="827">
        <v>27723508</v>
      </c>
      <c r="E93" s="827">
        <v>46408931</v>
      </c>
      <c r="F93" s="827">
        <v>44276</v>
      </c>
      <c r="G93" s="827">
        <v>0</v>
      </c>
      <c r="H93" s="827">
        <f>I93+R93</f>
        <v>74088163</v>
      </c>
      <c r="I93" s="827">
        <f>J93+K93+L93+M93+N93+O93+P93+Q93</f>
        <v>20614779</v>
      </c>
      <c r="J93" s="827">
        <v>3608819</v>
      </c>
      <c r="K93" s="827">
        <v>0</v>
      </c>
      <c r="L93" s="827">
        <v>0</v>
      </c>
      <c r="M93" s="827">
        <v>17005960</v>
      </c>
      <c r="N93" s="827">
        <v>0</v>
      </c>
      <c r="O93" s="827">
        <v>0</v>
      </c>
      <c r="P93" s="827">
        <v>0</v>
      </c>
      <c r="Q93" s="827">
        <v>0</v>
      </c>
      <c r="R93" s="828">
        <v>53473384</v>
      </c>
      <c r="S93" s="805">
        <f t="shared" si="23"/>
        <v>70479344</v>
      </c>
      <c r="T93" s="806">
        <f t="shared" si="24"/>
        <v>17.50597956931772</v>
      </c>
      <c r="U93" s="667"/>
    </row>
    <row r="94" spans="1:21" s="679" customFormat="1" ht="24" customHeight="1">
      <c r="A94" s="807">
        <v>13.2</v>
      </c>
      <c r="B94" s="856" t="s">
        <v>769</v>
      </c>
      <c r="C94" s="827">
        <f t="shared" si="26"/>
        <v>50698825</v>
      </c>
      <c r="D94" s="827">
        <v>49662824</v>
      </c>
      <c r="E94" s="827">
        <v>1036001</v>
      </c>
      <c r="F94" s="827">
        <v>0</v>
      </c>
      <c r="G94" s="827">
        <v>0</v>
      </c>
      <c r="H94" s="827">
        <f aca="true" t="shared" si="29" ref="H94:H103">I94+R94</f>
        <v>50698825</v>
      </c>
      <c r="I94" s="827">
        <f aca="true" t="shared" si="30" ref="I94:I103">J94+K94+L94+M94+N94+O94+P94+Q94</f>
        <v>43493197</v>
      </c>
      <c r="J94" s="827">
        <v>3893518</v>
      </c>
      <c r="K94" s="827">
        <v>1034805</v>
      </c>
      <c r="L94" s="827">
        <v>0</v>
      </c>
      <c r="M94" s="827">
        <v>38564874</v>
      </c>
      <c r="N94" s="827">
        <v>0</v>
      </c>
      <c r="O94" s="827">
        <v>0</v>
      </c>
      <c r="P94" s="827">
        <v>0</v>
      </c>
      <c r="Q94" s="827">
        <v>0</v>
      </c>
      <c r="R94" s="828">
        <v>7205628</v>
      </c>
      <c r="S94" s="805">
        <f t="shared" si="23"/>
        <v>45770502</v>
      </c>
      <c r="T94" s="806">
        <f t="shared" si="24"/>
        <v>11.331250264265465</v>
      </c>
      <c r="U94" s="678"/>
    </row>
    <row r="95" spans="1:21" s="668" customFormat="1" ht="24" customHeight="1">
      <c r="A95" s="807">
        <v>13.3</v>
      </c>
      <c r="B95" s="856" t="s">
        <v>834</v>
      </c>
      <c r="C95" s="827">
        <f t="shared" si="26"/>
        <v>124197741</v>
      </c>
      <c r="D95" s="827">
        <v>78972440</v>
      </c>
      <c r="E95" s="827">
        <v>45225301</v>
      </c>
      <c r="F95" s="827">
        <v>5050</v>
      </c>
      <c r="G95" s="827">
        <v>0</v>
      </c>
      <c r="H95" s="827">
        <f t="shared" si="29"/>
        <v>124192691</v>
      </c>
      <c r="I95" s="827">
        <f t="shared" si="30"/>
        <v>119558430</v>
      </c>
      <c r="J95" s="827">
        <v>7626249</v>
      </c>
      <c r="K95" s="827">
        <v>3173852</v>
      </c>
      <c r="L95" s="827">
        <v>0</v>
      </c>
      <c r="M95" s="827">
        <v>108758329</v>
      </c>
      <c r="N95" s="827">
        <v>0</v>
      </c>
      <c r="O95" s="827"/>
      <c r="P95" s="827"/>
      <c r="Q95" s="827">
        <v>0</v>
      </c>
      <c r="R95" s="828">
        <v>4634261</v>
      </c>
      <c r="S95" s="805">
        <f t="shared" si="23"/>
        <v>113392590</v>
      </c>
      <c r="T95" s="806">
        <f t="shared" si="24"/>
        <v>9.033324542652492</v>
      </c>
      <c r="U95" s="667"/>
    </row>
    <row r="96" spans="1:21" s="668" customFormat="1" ht="24" customHeight="1">
      <c r="A96" s="807">
        <v>13.4</v>
      </c>
      <c r="B96" s="857" t="s">
        <v>835</v>
      </c>
      <c r="C96" s="827">
        <f t="shared" si="26"/>
        <v>68393875</v>
      </c>
      <c r="D96" s="827">
        <v>62570529</v>
      </c>
      <c r="E96" s="827">
        <v>5823346</v>
      </c>
      <c r="F96" s="827">
        <v>0</v>
      </c>
      <c r="G96" s="827">
        <v>0</v>
      </c>
      <c r="H96" s="827">
        <f t="shared" si="29"/>
        <v>68393875</v>
      </c>
      <c r="I96" s="827">
        <f t="shared" si="30"/>
        <v>64619179</v>
      </c>
      <c r="J96" s="827">
        <v>6577214</v>
      </c>
      <c r="K96" s="827">
        <v>1319926</v>
      </c>
      <c r="L96" s="827">
        <v>0</v>
      </c>
      <c r="M96" s="827">
        <v>56722039</v>
      </c>
      <c r="N96" s="827">
        <v>0</v>
      </c>
      <c r="O96" s="827">
        <v>0</v>
      </c>
      <c r="P96" s="827">
        <v>0</v>
      </c>
      <c r="Q96" s="827">
        <v>0</v>
      </c>
      <c r="R96" s="828">
        <v>3774696</v>
      </c>
      <c r="S96" s="805">
        <f t="shared" si="23"/>
        <v>60496735</v>
      </c>
      <c r="T96" s="806">
        <f t="shared" si="24"/>
        <v>12.221046633848442</v>
      </c>
      <c r="U96" s="667"/>
    </row>
    <row r="97" spans="1:21" s="668" customFormat="1" ht="24" customHeight="1">
      <c r="A97" s="807">
        <v>13.5</v>
      </c>
      <c r="B97" s="858" t="s">
        <v>836</v>
      </c>
      <c r="C97" s="827">
        <f t="shared" si="26"/>
        <v>41245854</v>
      </c>
      <c r="D97" s="827">
        <v>35120125</v>
      </c>
      <c r="E97" s="827">
        <v>6125729</v>
      </c>
      <c r="F97" s="827">
        <v>3200</v>
      </c>
      <c r="G97" s="827">
        <v>4538443</v>
      </c>
      <c r="H97" s="827">
        <f t="shared" si="29"/>
        <v>41242654</v>
      </c>
      <c r="I97" s="827">
        <f>J97+K97+L97+M97+N97+O97+P97+Q97</f>
        <v>40563105</v>
      </c>
      <c r="J97" s="827">
        <v>1583509</v>
      </c>
      <c r="K97" s="827">
        <v>1245331</v>
      </c>
      <c r="L97" s="827">
        <v>0</v>
      </c>
      <c r="M97" s="827">
        <v>25282297</v>
      </c>
      <c r="N97" s="827">
        <v>0</v>
      </c>
      <c r="O97" s="827">
        <v>12451968</v>
      </c>
      <c r="P97" s="827">
        <v>0</v>
      </c>
      <c r="Q97" s="827">
        <v>0</v>
      </c>
      <c r="R97" s="828">
        <v>679549</v>
      </c>
      <c r="S97" s="805">
        <f t="shared" si="23"/>
        <v>38413814</v>
      </c>
      <c r="T97" s="806">
        <f t="shared" si="24"/>
        <v>6.9739237171316155</v>
      </c>
      <c r="U97" s="667"/>
    </row>
    <row r="98" spans="1:21" s="668" customFormat="1" ht="24" customHeight="1">
      <c r="A98" s="807">
        <v>13.6</v>
      </c>
      <c r="B98" s="858" t="s">
        <v>837</v>
      </c>
      <c r="C98" s="827">
        <f t="shared" si="26"/>
        <v>62993890</v>
      </c>
      <c r="D98" s="827">
        <v>47568842</v>
      </c>
      <c r="E98" s="827">
        <v>15425048</v>
      </c>
      <c r="F98" s="827">
        <v>0</v>
      </c>
      <c r="G98" s="827">
        <v>0</v>
      </c>
      <c r="H98" s="827">
        <f t="shared" si="29"/>
        <v>62993890</v>
      </c>
      <c r="I98" s="827">
        <f t="shared" si="30"/>
        <v>54860706</v>
      </c>
      <c r="J98" s="827">
        <v>11016505</v>
      </c>
      <c r="K98" s="827">
        <v>6565184</v>
      </c>
      <c r="L98" s="827">
        <v>0</v>
      </c>
      <c r="M98" s="827">
        <v>37279017</v>
      </c>
      <c r="N98" s="827">
        <v>0</v>
      </c>
      <c r="O98" s="827"/>
      <c r="P98" s="827">
        <v>0</v>
      </c>
      <c r="Q98" s="827">
        <v>0</v>
      </c>
      <c r="R98" s="828">
        <v>8133184</v>
      </c>
      <c r="S98" s="805">
        <f t="shared" si="23"/>
        <v>45412201</v>
      </c>
      <c r="T98" s="806">
        <f t="shared" si="24"/>
        <v>32.04787229679472</v>
      </c>
      <c r="U98" s="667"/>
    </row>
    <row r="99" spans="1:21" s="668" customFormat="1" ht="24" customHeight="1">
      <c r="A99" s="807">
        <v>13.7</v>
      </c>
      <c r="B99" s="858" t="s">
        <v>838</v>
      </c>
      <c r="C99" s="827">
        <f t="shared" si="26"/>
        <v>28386377</v>
      </c>
      <c r="D99" s="827">
        <v>26246884</v>
      </c>
      <c r="E99" s="827">
        <v>2139493</v>
      </c>
      <c r="F99" s="827">
        <v>0</v>
      </c>
      <c r="G99" s="827">
        <v>0</v>
      </c>
      <c r="H99" s="827">
        <f t="shared" si="29"/>
        <v>28386377</v>
      </c>
      <c r="I99" s="827">
        <f t="shared" si="30"/>
        <v>25734724</v>
      </c>
      <c r="J99" s="827">
        <v>7691787</v>
      </c>
      <c r="K99" s="827">
        <v>498068</v>
      </c>
      <c r="L99" s="827">
        <v>0</v>
      </c>
      <c r="M99" s="827">
        <v>17544869</v>
      </c>
      <c r="N99" s="827">
        <v>0</v>
      </c>
      <c r="O99" s="827">
        <v>0</v>
      </c>
      <c r="P99" s="827">
        <v>0</v>
      </c>
      <c r="Q99" s="827">
        <v>0</v>
      </c>
      <c r="R99" s="828">
        <f>2566240+85413</f>
        <v>2651653</v>
      </c>
      <c r="S99" s="805">
        <f t="shared" si="23"/>
        <v>20196522</v>
      </c>
      <c r="T99" s="806">
        <f t="shared" si="24"/>
        <v>31.824141576183212</v>
      </c>
      <c r="U99" s="667"/>
    </row>
    <row r="100" spans="1:21" s="668" customFormat="1" ht="24" customHeight="1">
      <c r="A100" s="807">
        <v>13.8</v>
      </c>
      <c r="B100" s="856" t="s">
        <v>839</v>
      </c>
      <c r="C100" s="827">
        <f t="shared" si="26"/>
        <v>9289751</v>
      </c>
      <c r="D100" s="827">
        <v>8341080</v>
      </c>
      <c r="E100" s="827">
        <v>948671</v>
      </c>
      <c r="F100" s="827">
        <v>0</v>
      </c>
      <c r="G100" s="827">
        <v>0</v>
      </c>
      <c r="H100" s="827">
        <f t="shared" si="29"/>
        <v>9289751</v>
      </c>
      <c r="I100" s="827">
        <f t="shared" si="30"/>
        <v>9289751</v>
      </c>
      <c r="J100" s="827">
        <v>7726678</v>
      </c>
      <c r="K100" s="827">
        <v>1563073</v>
      </c>
      <c r="L100" s="827">
        <v>0</v>
      </c>
      <c r="M100" s="827">
        <v>0</v>
      </c>
      <c r="N100" s="827"/>
      <c r="O100" s="827">
        <v>0</v>
      </c>
      <c r="P100" s="827"/>
      <c r="Q100" s="827">
        <v>0</v>
      </c>
      <c r="R100" s="828">
        <v>0</v>
      </c>
      <c r="S100" s="805">
        <f t="shared" si="23"/>
        <v>0</v>
      </c>
      <c r="T100" s="806">
        <f t="shared" si="24"/>
        <v>100</v>
      </c>
      <c r="U100" s="667"/>
    </row>
    <row r="101" spans="1:21" s="668" customFormat="1" ht="24" customHeight="1">
      <c r="A101" s="807">
        <v>13.9</v>
      </c>
      <c r="B101" s="856" t="s">
        <v>840</v>
      </c>
      <c r="C101" s="827">
        <f t="shared" si="26"/>
        <v>16088502</v>
      </c>
      <c r="D101" s="827">
        <v>9217670</v>
      </c>
      <c r="E101" s="827">
        <v>6870832</v>
      </c>
      <c r="F101" s="827">
        <v>3200</v>
      </c>
      <c r="G101" s="827">
        <v>0</v>
      </c>
      <c r="H101" s="827">
        <f t="shared" si="29"/>
        <v>16085302</v>
      </c>
      <c r="I101" s="827">
        <f t="shared" si="30"/>
        <v>13286144</v>
      </c>
      <c r="J101" s="827">
        <v>262043</v>
      </c>
      <c r="K101" s="827">
        <v>11812</v>
      </c>
      <c r="L101" s="827">
        <v>0</v>
      </c>
      <c r="M101" s="827">
        <v>13012289</v>
      </c>
      <c r="N101" s="827">
        <v>0</v>
      </c>
      <c r="O101" s="827">
        <v>0</v>
      </c>
      <c r="P101" s="827">
        <v>0</v>
      </c>
      <c r="Q101" s="827">
        <v>0</v>
      </c>
      <c r="R101" s="828">
        <v>2799158</v>
      </c>
      <c r="S101" s="805">
        <f t="shared" si="23"/>
        <v>15811447</v>
      </c>
      <c r="T101" s="806">
        <f t="shared" si="24"/>
        <v>2.0612075256748685</v>
      </c>
      <c r="U101" s="667"/>
    </row>
    <row r="102" spans="1:21" s="668" customFormat="1" ht="24" customHeight="1">
      <c r="A102" s="807" t="s">
        <v>842</v>
      </c>
      <c r="B102" s="856" t="s">
        <v>841</v>
      </c>
      <c r="C102" s="827">
        <f t="shared" si="26"/>
        <v>57492605</v>
      </c>
      <c r="D102" s="827">
        <v>36510614</v>
      </c>
      <c r="E102" s="827">
        <v>20981991</v>
      </c>
      <c r="F102" s="827">
        <v>0</v>
      </c>
      <c r="G102" s="827">
        <v>0</v>
      </c>
      <c r="H102" s="827">
        <f>I102+R102</f>
        <v>57492605</v>
      </c>
      <c r="I102" s="827">
        <f t="shared" si="30"/>
        <v>37980769</v>
      </c>
      <c r="J102" s="827">
        <v>1763779</v>
      </c>
      <c r="K102" s="827">
        <v>20050</v>
      </c>
      <c r="L102" s="827">
        <v>0</v>
      </c>
      <c r="M102" s="827">
        <v>36196940</v>
      </c>
      <c r="N102" s="827">
        <v>0</v>
      </c>
      <c r="O102" s="827">
        <v>0</v>
      </c>
      <c r="P102" s="827">
        <v>0</v>
      </c>
      <c r="Q102" s="827">
        <v>0</v>
      </c>
      <c r="R102" s="828">
        <v>19511836</v>
      </c>
      <c r="S102" s="805">
        <f t="shared" si="23"/>
        <v>55708776</v>
      </c>
      <c r="T102" s="806">
        <f t="shared" si="24"/>
        <v>4.6966637247392224</v>
      </c>
      <c r="U102" s="667"/>
    </row>
    <row r="103" spans="1:21" s="668" customFormat="1" ht="24" customHeight="1">
      <c r="A103" s="807" t="s">
        <v>864</v>
      </c>
      <c r="B103" s="856" t="s">
        <v>708</v>
      </c>
      <c r="C103" s="827">
        <f t="shared" si="26"/>
        <v>32964579</v>
      </c>
      <c r="D103" s="827">
        <v>12348507</v>
      </c>
      <c r="E103" s="827">
        <v>20616072</v>
      </c>
      <c r="F103" s="827">
        <v>0</v>
      </c>
      <c r="G103" s="827">
        <v>0</v>
      </c>
      <c r="H103" s="827">
        <f t="shared" si="29"/>
        <v>32964579</v>
      </c>
      <c r="I103" s="827">
        <f t="shared" si="30"/>
        <v>20142206</v>
      </c>
      <c r="J103" s="827">
        <v>1400558</v>
      </c>
      <c r="K103" s="827">
        <v>20836</v>
      </c>
      <c r="L103" s="827">
        <v>0</v>
      </c>
      <c r="M103" s="827">
        <v>18720812</v>
      </c>
      <c r="N103" s="827">
        <v>0</v>
      </c>
      <c r="O103" s="827">
        <v>0</v>
      </c>
      <c r="P103" s="827">
        <v>0</v>
      </c>
      <c r="Q103" s="827">
        <v>0</v>
      </c>
      <c r="R103" s="828">
        <v>12822373</v>
      </c>
      <c r="S103" s="805">
        <f t="shared" si="23"/>
        <v>31543185</v>
      </c>
      <c r="T103" s="806">
        <f t="shared" si="24"/>
        <v>7.056794077073782</v>
      </c>
      <c r="U103" s="667"/>
    </row>
    <row r="104" spans="1:21" s="874" customFormat="1" ht="24" customHeight="1">
      <c r="A104" s="868">
        <v>14</v>
      </c>
      <c r="B104" s="875" t="s">
        <v>770</v>
      </c>
      <c r="C104" s="870">
        <f>SUM(C105:C106)</f>
        <v>19701887</v>
      </c>
      <c r="D104" s="870">
        <f aca="true" t="shared" si="31" ref="D104:R104">SUM(D105:D106)</f>
        <v>11138374</v>
      </c>
      <c r="E104" s="870">
        <f t="shared" si="31"/>
        <v>8563513</v>
      </c>
      <c r="F104" s="870">
        <f t="shared" si="31"/>
        <v>1590150</v>
      </c>
      <c r="G104" s="870">
        <f t="shared" si="31"/>
        <v>0</v>
      </c>
      <c r="H104" s="870">
        <f t="shared" si="31"/>
        <v>18111737</v>
      </c>
      <c r="I104" s="870">
        <f t="shared" si="31"/>
        <v>11421691</v>
      </c>
      <c r="J104" s="870">
        <f t="shared" si="31"/>
        <v>2322241</v>
      </c>
      <c r="K104" s="870">
        <f t="shared" si="31"/>
        <v>21794</v>
      </c>
      <c r="L104" s="870">
        <f t="shared" si="31"/>
        <v>0</v>
      </c>
      <c r="M104" s="870">
        <f t="shared" si="31"/>
        <v>9077656</v>
      </c>
      <c r="N104" s="870">
        <f t="shared" si="31"/>
        <v>0</v>
      </c>
      <c r="O104" s="870">
        <f t="shared" si="31"/>
        <v>0</v>
      </c>
      <c r="P104" s="870">
        <f t="shared" si="31"/>
        <v>0</v>
      </c>
      <c r="Q104" s="870">
        <f t="shared" si="31"/>
        <v>0</v>
      </c>
      <c r="R104" s="870">
        <f t="shared" si="31"/>
        <v>6690046</v>
      </c>
      <c r="S104" s="871">
        <f t="shared" si="23"/>
        <v>15767702</v>
      </c>
      <c r="T104" s="872">
        <f t="shared" si="24"/>
        <v>20.52266166192029</v>
      </c>
      <c r="U104" s="873"/>
    </row>
    <row r="105" spans="1:21" s="668" customFormat="1" ht="24" customHeight="1">
      <c r="A105" s="832" t="s">
        <v>771</v>
      </c>
      <c r="B105" s="829" t="s">
        <v>772</v>
      </c>
      <c r="C105" s="849">
        <f>D105+E105</f>
        <v>9667887</v>
      </c>
      <c r="D105" s="849">
        <v>6111241</v>
      </c>
      <c r="E105" s="849">
        <v>3556646</v>
      </c>
      <c r="F105" s="849">
        <v>959174</v>
      </c>
      <c r="G105" s="859">
        <v>0</v>
      </c>
      <c r="H105" s="849">
        <f>I105+R105</f>
        <v>8708713</v>
      </c>
      <c r="I105" s="849">
        <f>SUM(J105:Q105)</f>
        <v>2957616</v>
      </c>
      <c r="J105" s="849">
        <v>841027</v>
      </c>
      <c r="K105" s="849">
        <v>5474</v>
      </c>
      <c r="L105" s="849">
        <v>0</v>
      </c>
      <c r="M105" s="849">
        <v>2111115</v>
      </c>
      <c r="N105" s="849">
        <v>0</v>
      </c>
      <c r="O105" s="849">
        <v>0</v>
      </c>
      <c r="P105" s="849">
        <v>0</v>
      </c>
      <c r="Q105" s="849">
        <v>0</v>
      </c>
      <c r="R105" s="849">
        <v>5751097</v>
      </c>
      <c r="S105" s="805">
        <f t="shared" si="23"/>
        <v>7862212</v>
      </c>
      <c r="T105" s="806">
        <f t="shared" si="24"/>
        <v>28.62105831182953</v>
      </c>
      <c r="U105" s="667"/>
    </row>
    <row r="106" spans="1:21" s="679" customFormat="1" ht="24" customHeight="1">
      <c r="A106" s="832" t="s">
        <v>773</v>
      </c>
      <c r="B106" s="829" t="s">
        <v>774</v>
      </c>
      <c r="C106" s="849">
        <f>D106+E106</f>
        <v>10034000</v>
      </c>
      <c r="D106" s="849">
        <v>5027133</v>
      </c>
      <c r="E106" s="849">
        <v>5006867</v>
      </c>
      <c r="F106" s="849">
        <v>630976</v>
      </c>
      <c r="G106" s="849">
        <v>0</v>
      </c>
      <c r="H106" s="849">
        <f>I106+R106</f>
        <v>9403024</v>
      </c>
      <c r="I106" s="849">
        <f>SUM(J106:Q106)</f>
        <v>8464075</v>
      </c>
      <c r="J106" s="849">
        <v>1481214</v>
      </c>
      <c r="K106" s="849">
        <v>16320</v>
      </c>
      <c r="L106" s="849">
        <v>0</v>
      </c>
      <c r="M106" s="849">
        <v>6966541</v>
      </c>
      <c r="N106" s="849">
        <v>0</v>
      </c>
      <c r="O106" s="849">
        <v>0</v>
      </c>
      <c r="P106" s="849">
        <v>0</v>
      </c>
      <c r="Q106" s="849">
        <v>0</v>
      </c>
      <c r="R106" s="849">
        <v>938949</v>
      </c>
      <c r="S106" s="805">
        <f t="shared" si="23"/>
        <v>7905490</v>
      </c>
      <c r="T106" s="806">
        <f t="shared" si="24"/>
        <v>17.692825264426414</v>
      </c>
      <c r="U106" s="678"/>
    </row>
    <row r="107" spans="1:21" s="874" customFormat="1" ht="24" customHeight="1">
      <c r="A107" s="868">
        <v>15</v>
      </c>
      <c r="B107" s="875" t="s">
        <v>775</v>
      </c>
      <c r="C107" s="870">
        <f>SUM(C108:C111)</f>
        <v>50931341</v>
      </c>
      <c r="D107" s="870">
        <f aca="true" t="shared" si="32" ref="D107:R107">SUM(D108:D111)</f>
        <v>16756890</v>
      </c>
      <c r="E107" s="870">
        <f t="shared" si="32"/>
        <v>34174451</v>
      </c>
      <c r="F107" s="870">
        <f t="shared" si="32"/>
        <v>1297860</v>
      </c>
      <c r="G107" s="870">
        <f t="shared" si="32"/>
        <v>0</v>
      </c>
      <c r="H107" s="870">
        <f t="shared" si="32"/>
        <v>49633481</v>
      </c>
      <c r="I107" s="870">
        <f t="shared" si="32"/>
        <v>32135543</v>
      </c>
      <c r="J107" s="870">
        <f t="shared" si="32"/>
        <v>7806237</v>
      </c>
      <c r="K107" s="870">
        <f t="shared" si="32"/>
        <v>28400</v>
      </c>
      <c r="L107" s="870">
        <f t="shared" si="32"/>
        <v>0</v>
      </c>
      <c r="M107" s="870">
        <f t="shared" si="32"/>
        <v>23125361</v>
      </c>
      <c r="N107" s="870">
        <f t="shared" si="32"/>
        <v>305307</v>
      </c>
      <c r="O107" s="870">
        <f t="shared" si="32"/>
        <v>0</v>
      </c>
      <c r="P107" s="870">
        <f t="shared" si="32"/>
        <v>0</v>
      </c>
      <c r="Q107" s="870">
        <f t="shared" si="32"/>
        <v>870238</v>
      </c>
      <c r="R107" s="870">
        <f t="shared" si="32"/>
        <v>17497938</v>
      </c>
      <c r="S107" s="871">
        <f t="shared" si="23"/>
        <v>41798844</v>
      </c>
      <c r="T107" s="872">
        <f t="shared" si="24"/>
        <v>24.379973912374844</v>
      </c>
      <c r="U107" s="873"/>
    </row>
    <row r="108" spans="1:21" s="668" customFormat="1" ht="24" customHeight="1">
      <c r="A108" s="807">
        <v>15.1</v>
      </c>
      <c r="B108" s="860" t="s">
        <v>776</v>
      </c>
      <c r="C108" s="821">
        <f>D108+E108</f>
        <v>12032756</v>
      </c>
      <c r="D108" s="821">
        <v>7074260</v>
      </c>
      <c r="E108" s="821">
        <v>4958496</v>
      </c>
      <c r="F108" s="821">
        <v>147606</v>
      </c>
      <c r="G108" s="821">
        <v>0</v>
      </c>
      <c r="H108" s="821">
        <f>C108-F108</f>
        <v>11885150</v>
      </c>
      <c r="I108" s="821">
        <f>H108-R108</f>
        <v>11867350</v>
      </c>
      <c r="J108" s="821">
        <v>688200</v>
      </c>
      <c r="K108" s="821">
        <v>0</v>
      </c>
      <c r="L108" s="821">
        <v>0</v>
      </c>
      <c r="M108" s="821">
        <f>I108-J108-K108-L108-N108-O108-P108-Q108</f>
        <v>11179150</v>
      </c>
      <c r="N108" s="821">
        <v>0</v>
      </c>
      <c r="O108" s="821">
        <v>0</v>
      </c>
      <c r="P108" s="821">
        <v>0</v>
      </c>
      <c r="Q108" s="861">
        <v>0</v>
      </c>
      <c r="R108" s="862">
        <v>17800</v>
      </c>
      <c r="S108" s="805">
        <f t="shared" si="23"/>
        <v>11196950</v>
      </c>
      <c r="T108" s="806">
        <f t="shared" si="24"/>
        <v>5.799104265063388</v>
      </c>
      <c r="U108" s="667"/>
    </row>
    <row r="109" spans="1:21" s="679" customFormat="1" ht="24" customHeight="1">
      <c r="A109" s="807">
        <v>15.2</v>
      </c>
      <c r="B109" s="860" t="s">
        <v>843</v>
      </c>
      <c r="C109" s="821">
        <f>D109+E109</f>
        <v>10606304</v>
      </c>
      <c r="D109" s="821">
        <v>5481803</v>
      </c>
      <c r="E109" s="821">
        <v>5124501</v>
      </c>
      <c r="F109" s="821">
        <v>5948</v>
      </c>
      <c r="G109" s="821">
        <v>0</v>
      </c>
      <c r="H109" s="821">
        <f>C109-F109</f>
        <v>10600356</v>
      </c>
      <c r="I109" s="821">
        <f>H109-R109</f>
        <v>9877487</v>
      </c>
      <c r="J109" s="821">
        <v>1102186</v>
      </c>
      <c r="K109" s="821">
        <v>0</v>
      </c>
      <c r="L109" s="821">
        <v>0</v>
      </c>
      <c r="M109" s="821">
        <f>I109-J109-K109-L109-N109-O109-P109-Q109</f>
        <v>8775301</v>
      </c>
      <c r="N109" s="821">
        <v>0</v>
      </c>
      <c r="O109" s="821">
        <v>0</v>
      </c>
      <c r="P109" s="821">
        <v>0</v>
      </c>
      <c r="Q109" s="861">
        <v>0</v>
      </c>
      <c r="R109" s="862">
        <v>722869</v>
      </c>
      <c r="S109" s="805">
        <f t="shared" si="23"/>
        <v>9498170</v>
      </c>
      <c r="T109" s="806">
        <f t="shared" si="24"/>
        <v>11.158566951290345</v>
      </c>
      <c r="U109" s="678"/>
    </row>
    <row r="110" spans="1:21" s="668" customFormat="1" ht="24" customHeight="1">
      <c r="A110" s="807">
        <v>15.3</v>
      </c>
      <c r="B110" s="860" t="s">
        <v>844</v>
      </c>
      <c r="C110" s="821">
        <f>D110+E110</f>
        <v>25763881</v>
      </c>
      <c r="D110" s="821">
        <v>2661574</v>
      </c>
      <c r="E110" s="821">
        <v>23102307</v>
      </c>
      <c r="F110" s="821">
        <v>1133186</v>
      </c>
      <c r="G110" s="821">
        <v>0</v>
      </c>
      <c r="H110" s="821">
        <f>C110-F110</f>
        <v>24630695</v>
      </c>
      <c r="I110" s="821">
        <f>H110-R110</f>
        <v>8886249</v>
      </c>
      <c r="J110" s="821">
        <v>5921983</v>
      </c>
      <c r="K110" s="821">
        <v>0</v>
      </c>
      <c r="L110" s="821">
        <v>0</v>
      </c>
      <c r="M110" s="821">
        <f>I110-J110-K110-L110-N110-O110-P110-Q110</f>
        <v>1788721</v>
      </c>
      <c r="N110" s="821">
        <v>305307</v>
      </c>
      <c r="O110" s="821">
        <v>0</v>
      </c>
      <c r="P110" s="821">
        <v>0</v>
      </c>
      <c r="Q110" s="861">
        <v>870238</v>
      </c>
      <c r="R110" s="862">
        <v>15744446</v>
      </c>
      <c r="S110" s="805">
        <f t="shared" si="23"/>
        <v>18708712</v>
      </c>
      <c r="T110" s="806">
        <f t="shared" si="24"/>
        <v>66.64210062085813</v>
      </c>
      <c r="U110" s="667"/>
    </row>
    <row r="111" spans="1:21" s="668" customFormat="1" ht="24" customHeight="1">
      <c r="A111" s="807">
        <v>15.4</v>
      </c>
      <c r="B111" s="860" t="s">
        <v>845</v>
      </c>
      <c r="C111" s="821">
        <f>D111+E111</f>
        <v>2528400</v>
      </c>
      <c r="D111" s="821">
        <v>1539253</v>
      </c>
      <c r="E111" s="821">
        <v>989147</v>
      </c>
      <c r="F111" s="821">
        <v>11120</v>
      </c>
      <c r="G111" s="821">
        <v>0</v>
      </c>
      <c r="H111" s="821">
        <f>C111-F111</f>
        <v>2517280</v>
      </c>
      <c r="I111" s="821">
        <f>H111-R111</f>
        <v>1504457</v>
      </c>
      <c r="J111" s="821">
        <v>93868</v>
      </c>
      <c r="K111" s="821">
        <v>28400</v>
      </c>
      <c r="L111" s="821">
        <v>0</v>
      </c>
      <c r="M111" s="821">
        <f>I111-J111-K111-L111-N111-O111-P111-Q111</f>
        <v>1382189</v>
      </c>
      <c r="N111" s="821">
        <v>0</v>
      </c>
      <c r="O111" s="821">
        <v>0</v>
      </c>
      <c r="P111" s="821">
        <v>0</v>
      </c>
      <c r="Q111" s="861">
        <v>0</v>
      </c>
      <c r="R111" s="862">
        <v>1012823</v>
      </c>
      <c r="S111" s="805">
        <f t="shared" si="23"/>
        <v>2395012</v>
      </c>
      <c r="T111" s="806">
        <f t="shared" si="24"/>
        <v>8.12705182002543</v>
      </c>
      <c r="U111" s="667"/>
    </row>
    <row r="112" spans="1:21" s="639" customFormat="1" ht="29.25" customHeight="1">
      <c r="A112" s="1603"/>
      <c r="B112" s="1603"/>
      <c r="C112" s="1603"/>
      <c r="D112" s="1603"/>
      <c r="E112" s="1603"/>
      <c r="F112" s="863"/>
      <c r="G112" s="864"/>
      <c r="H112" s="865"/>
      <c r="I112" s="865"/>
      <c r="J112" s="864"/>
      <c r="K112" s="864"/>
      <c r="L112" s="864"/>
      <c r="M112" s="864"/>
      <c r="N112" s="864"/>
      <c r="O112" s="1565" t="str">
        <f>'Thong tin'!B8</f>
        <v>Hải Phòng, ngày 03 tháng 8 năm 2017</v>
      </c>
      <c r="P112" s="1565"/>
      <c r="Q112" s="1565"/>
      <c r="R112" s="1565"/>
      <c r="S112" s="1565"/>
      <c r="T112" s="1565"/>
      <c r="U112" s="659"/>
    </row>
    <row r="113" spans="1:21" s="639" customFormat="1" ht="19.5" customHeight="1">
      <c r="A113" s="770"/>
      <c r="B113" s="1611" t="s">
        <v>4</v>
      </c>
      <c r="C113" s="1611"/>
      <c r="D113" s="1611"/>
      <c r="E113" s="1611"/>
      <c r="F113" s="866"/>
      <c r="G113" s="866"/>
      <c r="H113" s="867"/>
      <c r="I113" s="867"/>
      <c r="J113" s="866"/>
      <c r="K113" s="866"/>
      <c r="L113" s="866"/>
      <c r="M113" s="866"/>
      <c r="N113" s="866"/>
      <c r="O113" s="1598" t="str">
        <f>'Thong tin'!B7</f>
        <v>
PHÓ CỤC TRƯỞNG</v>
      </c>
      <c r="P113" s="1598"/>
      <c r="Q113" s="1598"/>
      <c r="R113" s="1598"/>
      <c r="S113" s="1598"/>
      <c r="T113" s="1598"/>
      <c r="U113" s="659"/>
    </row>
    <row r="114" spans="1:20" ht="18.75">
      <c r="A114" s="532"/>
      <c r="B114" s="1597"/>
      <c r="C114" s="1597"/>
      <c r="D114" s="1597"/>
      <c r="E114" s="649"/>
      <c r="F114" s="649"/>
      <c r="G114" s="649"/>
      <c r="H114" s="671"/>
      <c r="I114" s="671"/>
      <c r="J114" s="649"/>
      <c r="K114" s="649"/>
      <c r="L114" s="649"/>
      <c r="M114" s="649"/>
      <c r="N114" s="649"/>
      <c r="O114" s="1485"/>
      <c r="P114" s="1485"/>
      <c r="Q114" s="1485"/>
      <c r="R114" s="1485"/>
      <c r="S114" s="1485"/>
      <c r="T114" s="1485"/>
    </row>
    <row r="115" spans="1:20" ht="18.75">
      <c r="A115" s="532"/>
      <c r="B115" s="528"/>
      <c r="C115" s="671"/>
      <c r="D115" s="649"/>
      <c r="E115" s="649"/>
      <c r="F115" s="649"/>
      <c r="G115" s="649"/>
      <c r="H115" s="671"/>
      <c r="I115" s="671"/>
      <c r="J115" s="649"/>
      <c r="K115" s="649"/>
      <c r="L115" s="649"/>
      <c r="M115" s="649"/>
      <c r="N115" s="649"/>
      <c r="O115" s="649"/>
      <c r="P115" s="649"/>
      <c r="Q115" s="649"/>
      <c r="R115" s="671"/>
      <c r="S115" s="671"/>
      <c r="T115" s="707"/>
    </row>
    <row r="116" spans="1:20" ht="18.75">
      <c r="A116" s="640"/>
      <c r="B116" s="1485"/>
      <c r="C116" s="1485"/>
      <c r="D116" s="1485"/>
      <c r="E116" s="649"/>
      <c r="F116" s="649"/>
      <c r="G116" s="649"/>
      <c r="H116" s="671"/>
      <c r="I116" s="671"/>
      <c r="J116" s="649"/>
      <c r="K116" s="649"/>
      <c r="L116" s="649"/>
      <c r="M116" s="649"/>
      <c r="N116" s="649"/>
      <c r="O116" s="649"/>
      <c r="P116" s="649"/>
      <c r="Q116" s="1616"/>
      <c r="R116" s="1616"/>
      <c r="S116" s="1616"/>
      <c r="T116" s="707"/>
    </row>
    <row r="117" spans="1:20" ht="15.75" customHeight="1">
      <c r="A117" s="629"/>
      <c r="B117" s="528"/>
      <c r="C117" s="671"/>
      <c r="D117" s="649"/>
      <c r="E117" s="649"/>
      <c r="F117" s="649"/>
      <c r="G117" s="649"/>
      <c r="H117" s="671"/>
      <c r="I117" s="671"/>
      <c r="J117" s="649"/>
      <c r="K117" s="649"/>
      <c r="L117" s="649"/>
      <c r="M117" s="649"/>
      <c r="N117" s="649"/>
      <c r="O117" s="649"/>
      <c r="P117" s="649"/>
      <c r="Q117" s="649"/>
      <c r="R117" s="671"/>
      <c r="S117" s="671"/>
      <c r="T117" s="707"/>
    </row>
    <row r="118" spans="1:20" ht="15.75" customHeight="1">
      <c r="A118" s="640"/>
      <c r="B118" s="1485"/>
      <c r="C118" s="1485"/>
      <c r="D118" s="1485"/>
      <c r="E118" s="1485"/>
      <c r="F118" s="1485"/>
      <c r="G118" s="1485"/>
      <c r="H118" s="1485"/>
      <c r="I118" s="1485"/>
      <c r="J118" s="1485"/>
      <c r="K118" s="1485"/>
      <c r="L118" s="1485"/>
      <c r="M118" s="1485"/>
      <c r="N118" s="1485"/>
      <c r="O118" s="1485"/>
      <c r="P118" s="1485"/>
      <c r="Q118" s="649"/>
      <c r="R118" s="671"/>
      <c r="S118" s="671"/>
      <c r="T118" s="707"/>
    </row>
    <row r="119" spans="1:20" ht="18.75">
      <c r="A119" s="641"/>
      <c r="B119" s="648"/>
      <c r="C119" s="672"/>
      <c r="D119" s="650"/>
      <c r="E119" s="650"/>
      <c r="F119" s="650"/>
      <c r="G119" s="650"/>
      <c r="H119" s="672"/>
      <c r="I119" s="672"/>
      <c r="J119" s="650"/>
      <c r="K119" s="650"/>
      <c r="L119" s="650"/>
      <c r="M119" s="650"/>
      <c r="N119" s="650"/>
      <c r="O119" s="650"/>
      <c r="P119" s="650"/>
      <c r="Q119" s="650"/>
      <c r="R119" s="671"/>
      <c r="S119" s="671"/>
      <c r="T119" s="707"/>
    </row>
    <row r="120" spans="1:20" ht="18.75">
      <c r="A120" s="640"/>
      <c r="B120" s="1485" t="str">
        <f>'Thong tin'!B5</f>
        <v>Trần Thị Minh</v>
      </c>
      <c r="C120" s="1485"/>
      <c r="D120" s="1485"/>
      <c r="E120" s="1485"/>
      <c r="F120" s="649"/>
      <c r="G120" s="649"/>
      <c r="H120" s="671"/>
      <c r="I120" s="671"/>
      <c r="J120" s="649"/>
      <c r="K120" s="649"/>
      <c r="L120" s="649"/>
      <c r="M120" s="649"/>
      <c r="N120" s="649"/>
      <c r="O120" s="1485" t="str">
        <f>'Thong tin'!B6</f>
        <v>Nguyễn Thị Mai Hoa</v>
      </c>
      <c r="P120" s="1485"/>
      <c r="Q120" s="1485"/>
      <c r="R120" s="1485"/>
      <c r="S120" s="1485"/>
      <c r="T120" s="1485"/>
    </row>
    <row r="121" spans="2:20" ht="18.75">
      <c r="B121" s="1614"/>
      <c r="C121" s="1614"/>
      <c r="D121" s="1614"/>
      <c r="E121" s="1614"/>
      <c r="P121" s="1614"/>
      <c r="Q121" s="1614"/>
      <c r="R121" s="1614"/>
      <c r="S121" s="1614"/>
      <c r="T121" s="1615"/>
    </row>
  </sheetData>
  <sheetProtection/>
  <mergeCells count="39">
    <mergeCell ref="B121:E121"/>
    <mergeCell ref="P121:T121"/>
    <mergeCell ref="B120:E120"/>
    <mergeCell ref="B118:P118"/>
    <mergeCell ref="O120:T120"/>
    <mergeCell ref="Q116:S116"/>
    <mergeCell ref="B116:D116"/>
    <mergeCell ref="A11:B11"/>
    <mergeCell ref="A6:B9"/>
    <mergeCell ref="C6:E6"/>
    <mergeCell ref="C7:C9"/>
    <mergeCell ref="B113:E113"/>
    <mergeCell ref="A10:B10"/>
    <mergeCell ref="O114:T114"/>
    <mergeCell ref="B114:D114"/>
    <mergeCell ref="O113:T113"/>
    <mergeCell ref="T6:T9"/>
    <mergeCell ref="I7:Q7"/>
    <mergeCell ref="O112:T112"/>
    <mergeCell ref="S6:S9"/>
    <mergeCell ref="A112:E112"/>
    <mergeCell ref="J8:Q8"/>
    <mergeCell ref="H7:H9"/>
    <mergeCell ref="A2:D2"/>
    <mergeCell ref="Q2:T2"/>
    <mergeCell ref="Q4:T4"/>
    <mergeCell ref="A3:D3"/>
    <mergeCell ref="R7:R9"/>
    <mergeCell ref="I8:I9"/>
    <mergeCell ref="E1:P1"/>
    <mergeCell ref="E2:P2"/>
    <mergeCell ref="E3:P3"/>
    <mergeCell ref="F6:F9"/>
    <mergeCell ref="G6:G9"/>
    <mergeCell ref="H6:R6"/>
    <mergeCell ref="Q5:T5"/>
    <mergeCell ref="D7:E7"/>
    <mergeCell ref="D8:D9"/>
    <mergeCell ref="E8:E9"/>
  </mergeCells>
  <conditionalFormatting sqref="C86:C87">
    <cfRule type="expression" priority="1" dxfId="0" stopIfTrue="1">
      <formula>$C$16&lt;&gt;$F$16+$H$16</formula>
    </cfRule>
  </conditionalFormatting>
  <printOptions/>
  <pageMargins left="0.24" right="0" top="0" bottom="0" header="0.511811023622047" footer="0.275590551181102"/>
  <pageSetup horizontalDpi="600" verticalDpi="600" orientation="landscape" paperSize="9" scale="76" r:id="rId2"/>
  <headerFooter alignWithMargins="0">
    <oddFooter>&amp;CPage &amp;P</oddFooter>
  </headerFooter>
  <ignoredErrors>
    <ignoredError sqref="C89:R91 L105:L107" unlockedFormula="1"/>
    <ignoredError sqref="C60:I60 C61:G67 D68:G70 C104:K104" formula="1"/>
    <ignoredError sqref="C68:C70 C107:K107 C105:H106 J105:K106 H61:I67 H68:I70 I105:I106" formula="1" unlockedFormula="1"/>
    <ignoredError sqref="T18:T111 S28:S111 I19:I28" formulaRange="1"/>
    <ignoredError sqref="L10:T10" numberStoredAsText="1"/>
    <ignoredError sqref="H61:I67" formula="1" formulaRange="1"/>
    <ignoredError sqref="H68:I70 I105:I106" formula="1" formulaRange="1" unlockedFormula="1"/>
  </ignoredErrors>
  <drawing r:id="rId1"/>
</worksheet>
</file>

<file path=xl/worksheets/sheet24.xml><?xml version="1.0" encoding="utf-8"?>
<worksheet xmlns="http://schemas.openxmlformats.org/spreadsheetml/2006/main" xmlns:r="http://schemas.openxmlformats.org/officeDocument/2006/relationships">
  <sheetPr>
    <tabColor indexed="57"/>
  </sheetPr>
  <dimension ref="A1:N44"/>
  <sheetViews>
    <sheetView view="pageBreakPreview" zoomScale="85" zoomScaleSheetLayoutView="85" zoomScalePageLayoutView="0" workbookViewId="0" topLeftCell="A1">
      <selection activeCell="O15" sqref="O15"/>
    </sheetView>
  </sheetViews>
  <sheetFormatPr defaultColWidth="9.00390625" defaultRowHeight="15.75"/>
  <cols>
    <col min="1" max="1" width="3.75390625" style="998" customWidth="1"/>
    <col min="2" max="2" width="23.875" style="998" customWidth="1"/>
    <col min="3" max="3" width="7.50390625" style="998" customWidth="1"/>
    <col min="4" max="4" width="12.375" style="998" customWidth="1"/>
    <col min="5" max="5" width="6.25390625" style="998" customWidth="1"/>
    <col min="6" max="6" width="12.625" style="998" customWidth="1"/>
    <col min="7" max="7" width="8.00390625" style="998" customWidth="1"/>
    <col min="8" max="8" width="11.25390625" style="998" customWidth="1"/>
    <col min="9" max="9" width="7.125" style="998" customWidth="1"/>
    <col min="10" max="10" width="11.25390625" style="998" customWidth="1"/>
    <col min="11" max="11" width="7.375" style="998" customWidth="1"/>
    <col min="12" max="12" width="10.50390625" style="998" customWidth="1"/>
    <col min="13" max="13" width="6.00390625" style="998" customWidth="1"/>
    <col min="14" max="14" width="10.875" style="998" customWidth="1"/>
    <col min="15" max="16384" width="9.00390625" style="998" customWidth="1"/>
  </cols>
  <sheetData>
    <row r="1" spans="1:14" ht="18" customHeight="1">
      <c r="A1" s="1017" t="s">
        <v>36</v>
      </c>
      <c r="B1" s="1018"/>
      <c r="C1" s="1018"/>
      <c r="D1" s="1019"/>
      <c r="E1" s="1617" t="s">
        <v>583</v>
      </c>
      <c r="F1" s="1617"/>
      <c r="G1" s="1617"/>
      <c r="H1" s="1617"/>
      <c r="I1" s="1617"/>
      <c r="J1" s="1617"/>
      <c r="K1" s="1617"/>
      <c r="L1" s="1115" t="s">
        <v>584</v>
      </c>
      <c r="M1" s="1115"/>
      <c r="N1" s="1115"/>
    </row>
    <row r="2" spans="1:14" ht="15.75" customHeight="1">
      <c r="A2" s="1618" t="s">
        <v>344</v>
      </c>
      <c r="B2" s="1618"/>
      <c r="C2" s="1618"/>
      <c r="D2" s="1618"/>
      <c r="E2" s="1617"/>
      <c r="F2" s="1617"/>
      <c r="G2" s="1617"/>
      <c r="H2" s="1617"/>
      <c r="I2" s="1617"/>
      <c r="J2" s="1617"/>
      <c r="K2" s="1617"/>
      <c r="L2" s="1619" t="str">
        <f>'Thong tin'!B4</f>
        <v>CTHADS Hải Phòng</v>
      </c>
      <c r="M2" s="1619"/>
      <c r="N2" s="1619"/>
    </row>
    <row r="3" spans="1:14" ht="16.5" customHeight="1">
      <c r="A3" s="1620" t="s">
        <v>345</v>
      </c>
      <c r="B3" s="1620"/>
      <c r="C3" s="1620"/>
      <c r="D3" s="1620"/>
      <c r="E3" s="1621" t="str">
        <f>'Thong tin'!B3</f>
        <v>10 tháng / năm 2017</v>
      </c>
      <c r="F3" s="1621"/>
      <c r="G3" s="1621"/>
      <c r="H3" s="1621"/>
      <c r="I3" s="1621"/>
      <c r="J3" s="1621"/>
      <c r="K3" s="1116"/>
      <c r="L3" s="1625" t="s">
        <v>653</v>
      </c>
      <c r="M3" s="1625"/>
      <c r="N3" s="1625"/>
    </row>
    <row r="4" spans="1:14" ht="15.75" customHeight="1">
      <c r="A4" s="1026" t="s">
        <v>217</v>
      </c>
      <c r="B4" s="1027"/>
      <c r="C4" s="1027"/>
      <c r="D4" s="1027"/>
      <c r="E4" s="1117"/>
      <c r="F4" s="1118"/>
      <c r="G4" s="1118"/>
      <c r="H4" s="1118"/>
      <c r="I4" s="1118"/>
      <c r="J4" s="1118"/>
      <c r="L4" s="1634" t="s">
        <v>412</v>
      </c>
      <c r="M4" s="1634"/>
      <c r="N4" s="1634"/>
    </row>
    <row r="5" spans="1:14" ht="18" customHeight="1">
      <c r="A5" s="1118"/>
      <c r="D5" s="1626"/>
      <c r="E5" s="1626"/>
      <c r="F5" s="1626"/>
      <c r="G5" s="1626"/>
      <c r="H5" s="1626"/>
      <c r="I5" s="1626"/>
      <c r="J5" s="1626"/>
      <c r="K5" s="1626"/>
      <c r="L5" s="1119" t="s">
        <v>365</v>
      </c>
      <c r="M5" s="1119"/>
      <c r="N5" s="1119"/>
    </row>
    <row r="6" spans="1:14" ht="27.75" customHeight="1">
      <c r="A6" s="1629" t="s">
        <v>72</v>
      </c>
      <c r="B6" s="1630"/>
      <c r="C6" s="1633" t="s">
        <v>366</v>
      </c>
      <c r="D6" s="1633"/>
      <c r="E6" s="1633"/>
      <c r="F6" s="1633"/>
      <c r="G6" s="1622" t="s">
        <v>7</v>
      </c>
      <c r="H6" s="1623"/>
      <c r="I6" s="1623"/>
      <c r="J6" s="1623"/>
      <c r="K6" s="1623"/>
      <c r="L6" s="1623"/>
      <c r="M6" s="1623"/>
      <c r="N6" s="1624"/>
    </row>
    <row r="7" spans="1:14" ht="27.75" customHeight="1">
      <c r="A7" s="1631"/>
      <c r="B7" s="1632"/>
      <c r="C7" s="1633"/>
      <c r="D7" s="1633"/>
      <c r="E7" s="1633"/>
      <c r="F7" s="1633"/>
      <c r="G7" s="1622" t="s">
        <v>368</v>
      </c>
      <c r="H7" s="1623"/>
      <c r="I7" s="1623"/>
      <c r="J7" s="1624"/>
      <c r="K7" s="1622" t="s">
        <v>110</v>
      </c>
      <c r="L7" s="1623"/>
      <c r="M7" s="1623"/>
      <c r="N7" s="1624"/>
    </row>
    <row r="8" spans="1:14" ht="27.75" customHeight="1">
      <c r="A8" s="1631"/>
      <c r="B8" s="1632"/>
      <c r="C8" s="1622" t="s">
        <v>107</v>
      </c>
      <c r="D8" s="1624"/>
      <c r="E8" s="1622" t="s">
        <v>106</v>
      </c>
      <c r="F8" s="1624"/>
      <c r="G8" s="1622" t="s">
        <v>108</v>
      </c>
      <c r="H8" s="1637"/>
      <c r="I8" s="1622" t="s">
        <v>109</v>
      </c>
      <c r="J8" s="1637"/>
      <c r="K8" s="1622" t="s">
        <v>111</v>
      </c>
      <c r="L8" s="1637"/>
      <c r="M8" s="1622" t="s">
        <v>112</v>
      </c>
      <c r="N8" s="1637"/>
    </row>
    <row r="9" spans="1:14" ht="27.75" customHeight="1">
      <c r="A9" s="1631"/>
      <c r="B9" s="1632"/>
      <c r="C9" s="1120" t="s">
        <v>3</v>
      </c>
      <c r="D9" s="1121" t="s">
        <v>10</v>
      </c>
      <c r="E9" s="1121" t="s">
        <v>3</v>
      </c>
      <c r="F9" s="1121" t="s">
        <v>10</v>
      </c>
      <c r="G9" s="1121" t="s">
        <v>3</v>
      </c>
      <c r="H9" s="1121" t="s">
        <v>10</v>
      </c>
      <c r="I9" s="1121" t="s">
        <v>3</v>
      </c>
      <c r="J9" s="1121" t="s">
        <v>10</v>
      </c>
      <c r="K9" s="1121" t="s">
        <v>3</v>
      </c>
      <c r="L9" s="1121" t="s">
        <v>10</v>
      </c>
      <c r="M9" s="1121" t="s">
        <v>3</v>
      </c>
      <c r="N9" s="1121" t="s">
        <v>10</v>
      </c>
    </row>
    <row r="10" spans="1:14" s="1123" customFormat="1" ht="27.75" customHeight="1">
      <c r="A10" s="1638" t="s">
        <v>6</v>
      </c>
      <c r="B10" s="1638"/>
      <c r="C10" s="1122">
        <v>1</v>
      </c>
      <c r="D10" s="1122">
        <v>2</v>
      </c>
      <c r="E10" s="1122">
        <v>3</v>
      </c>
      <c r="F10" s="1122">
        <v>4</v>
      </c>
      <c r="G10" s="1122">
        <v>5</v>
      </c>
      <c r="H10" s="1122">
        <v>6</v>
      </c>
      <c r="I10" s="1122">
        <v>7</v>
      </c>
      <c r="J10" s="1122">
        <v>8</v>
      </c>
      <c r="K10" s="1122">
        <v>9</v>
      </c>
      <c r="L10" s="1122">
        <v>10</v>
      </c>
      <c r="M10" s="1122">
        <v>11</v>
      </c>
      <c r="N10" s="1122">
        <v>12</v>
      </c>
    </row>
    <row r="11" spans="1:14" s="1123" customFormat="1" ht="27.75" customHeight="1">
      <c r="A11" s="1639" t="s">
        <v>38</v>
      </c>
      <c r="B11" s="1640"/>
      <c r="C11" s="1124">
        <f>C12+C13</f>
        <v>91</v>
      </c>
      <c r="D11" s="1124">
        <f aca="true" t="shared" si="0" ref="D11:N11">D12+D13</f>
        <v>381736</v>
      </c>
      <c r="E11" s="1124">
        <f t="shared" si="0"/>
        <v>90</v>
      </c>
      <c r="F11" s="1124">
        <f t="shared" si="0"/>
        <v>377736</v>
      </c>
      <c r="G11" s="1124">
        <f t="shared" si="0"/>
        <v>88</v>
      </c>
      <c r="H11" s="1124">
        <f t="shared" si="0"/>
        <v>343288</v>
      </c>
      <c r="I11" s="1124">
        <f t="shared" si="0"/>
        <v>88</v>
      </c>
      <c r="J11" s="1124">
        <f t="shared" si="0"/>
        <v>343288</v>
      </c>
      <c r="K11" s="1124">
        <f t="shared" si="0"/>
        <v>3</v>
      </c>
      <c r="L11" s="1124">
        <f t="shared" si="0"/>
        <v>38448</v>
      </c>
      <c r="M11" s="1124">
        <f t="shared" si="0"/>
        <v>2</v>
      </c>
      <c r="N11" s="1124">
        <f t="shared" si="0"/>
        <v>34448</v>
      </c>
    </row>
    <row r="12" spans="1:14" s="1123" customFormat="1" ht="27.75" customHeight="1">
      <c r="A12" s="933" t="s">
        <v>0</v>
      </c>
      <c r="B12" s="934" t="s">
        <v>786</v>
      </c>
      <c r="C12" s="1124">
        <f>G12+K12</f>
        <v>0</v>
      </c>
      <c r="D12" s="1124">
        <f>H12+L12</f>
        <v>0</v>
      </c>
      <c r="E12" s="1124">
        <f>I12+M12</f>
        <v>0</v>
      </c>
      <c r="F12" s="1124">
        <f>J12+N12</f>
        <v>0</v>
      </c>
      <c r="G12" s="1125"/>
      <c r="H12" s="1125"/>
      <c r="I12" s="1125"/>
      <c r="J12" s="1125"/>
      <c r="K12" s="1125"/>
      <c r="L12" s="1125"/>
      <c r="M12" s="1125"/>
      <c r="N12" s="1125"/>
    </row>
    <row r="13" spans="1:14" s="1123" customFormat="1" ht="27.75" customHeight="1">
      <c r="A13" s="935" t="s">
        <v>1</v>
      </c>
      <c r="B13" s="934" t="s">
        <v>19</v>
      </c>
      <c r="C13" s="1124">
        <f>SUM(C14:C28)</f>
        <v>91</v>
      </c>
      <c r="D13" s="1124">
        <f>SUM(D14:D28)</f>
        <v>381736</v>
      </c>
      <c r="E13" s="1124">
        <f>SUM(E14:E28)</f>
        <v>90</v>
      </c>
      <c r="F13" s="1124">
        <f>SUM(F14:F28)</f>
        <v>377736</v>
      </c>
      <c r="G13" s="1124">
        <f aca="true" t="shared" si="1" ref="G13:N13">G14+G15+G16+G17+G18+G19+G20+G21+G22+G23+G24+G25+G26+G27+G28</f>
        <v>88</v>
      </c>
      <c r="H13" s="1124">
        <f t="shared" si="1"/>
        <v>343288</v>
      </c>
      <c r="I13" s="1124">
        <f t="shared" si="1"/>
        <v>88</v>
      </c>
      <c r="J13" s="1124">
        <f t="shared" si="1"/>
        <v>343288</v>
      </c>
      <c r="K13" s="1124">
        <f t="shared" si="1"/>
        <v>3</v>
      </c>
      <c r="L13" s="1124">
        <f t="shared" si="1"/>
        <v>38448</v>
      </c>
      <c r="M13" s="1124">
        <f t="shared" si="1"/>
        <v>2</v>
      </c>
      <c r="N13" s="1124">
        <f t="shared" si="1"/>
        <v>34448</v>
      </c>
    </row>
    <row r="14" spans="1:14" s="1123" customFormat="1" ht="27.75" customHeight="1">
      <c r="A14" s="900">
        <v>1</v>
      </c>
      <c r="B14" s="913" t="s">
        <v>787</v>
      </c>
      <c r="C14" s="1124">
        <f aca="true" t="shared" si="2" ref="C14:F28">G14+K14</f>
        <v>32</v>
      </c>
      <c r="D14" s="1124">
        <f t="shared" si="2"/>
        <v>155272</v>
      </c>
      <c r="E14" s="1124">
        <f t="shared" si="2"/>
        <v>32</v>
      </c>
      <c r="F14" s="1124">
        <f t="shared" si="2"/>
        <v>155272</v>
      </c>
      <c r="G14" s="1125">
        <v>32</v>
      </c>
      <c r="H14" s="1125">
        <v>155272</v>
      </c>
      <c r="I14" s="1125">
        <v>32</v>
      </c>
      <c r="J14" s="1125">
        <v>155272</v>
      </c>
      <c r="K14" s="1125"/>
      <c r="L14" s="1125"/>
      <c r="M14" s="1125"/>
      <c r="N14" s="1125"/>
    </row>
    <row r="15" spans="1:14" s="1127" customFormat="1" ht="27.75" customHeight="1">
      <c r="A15" s="913">
        <v>2</v>
      </c>
      <c r="B15" s="913" t="s">
        <v>788</v>
      </c>
      <c r="C15" s="1124">
        <f t="shared" si="2"/>
        <v>5</v>
      </c>
      <c r="D15" s="1124">
        <f t="shared" si="2"/>
        <v>32153</v>
      </c>
      <c r="E15" s="1124">
        <f t="shared" si="2"/>
        <v>5</v>
      </c>
      <c r="F15" s="1124">
        <f t="shared" si="2"/>
        <v>32153</v>
      </c>
      <c r="G15" s="1126">
        <v>4</v>
      </c>
      <c r="H15" s="1126">
        <v>24761</v>
      </c>
      <c r="I15" s="1126">
        <v>4</v>
      </c>
      <c r="J15" s="1126">
        <v>24761</v>
      </c>
      <c r="K15" s="1126">
        <v>1</v>
      </c>
      <c r="L15" s="1126">
        <v>7392</v>
      </c>
      <c r="M15" s="1126">
        <v>1</v>
      </c>
      <c r="N15" s="1126">
        <v>7392</v>
      </c>
    </row>
    <row r="16" spans="1:14" s="1123" customFormat="1" ht="27.75" customHeight="1">
      <c r="A16" s="900">
        <v>3</v>
      </c>
      <c r="B16" s="913" t="s">
        <v>789</v>
      </c>
      <c r="C16" s="1124">
        <f t="shared" si="2"/>
        <v>0</v>
      </c>
      <c r="D16" s="1124">
        <f t="shared" si="2"/>
        <v>0</v>
      </c>
      <c r="E16" s="1124">
        <f t="shared" si="2"/>
        <v>0</v>
      </c>
      <c r="F16" s="1124">
        <f t="shared" si="2"/>
        <v>0</v>
      </c>
      <c r="G16" s="1125"/>
      <c r="H16" s="1125"/>
      <c r="I16" s="1125"/>
      <c r="J16" s="1125"/>
      <c r="K16" s="1125"/>
      <c r="L16" s="1125"/>
      <c r="M16" s="1125"/>
      <c r="N16" s="1125"/>
    </row>
    <row r="17" spans="1:14" s="1123" customFormat="1" ht="27.75" customHeight="1">
      <c r="A17" s="900">
        <v>4</v>
      </c>
      <c r="B17" s="913" t="s">
        <v>790</v>
      </c>
      <c r="C17" s="1124">
        <f t="shared" si="2"/>
        <v>0</v>
      </c>
      <c r="D17" s="1124">
        <f t="shared" si="2"/>
        <v>0</v>
      </c>
      <c r="E17" s="1124">
        <f t="shared" si="2"/>
        <v>0</v>
      </c>
      <c r="F17" s="1124">
        <f t="shared" si="2"/>
        <v>0</v>
      </c>
      <c r="G17" s="1125"/>
      <c r="H17" s="1125"/>
      <c r="I17" s="1125"/>
      <c r="J17" s="1125"/>
      <c r="K17" s="1125"/>
      <c r="L17" s="1125"/>
      <c r="M17" s="1125"/>
      <c r="N17" s="1125"/>
    </row>
    <row r="18" spans="1:14" s="1123" customFormat="1" ht="27.75" customHeight="1">
      <c r="A18" s="900">
        <v>5</v>
      </c>
      <c r="B18" s="913" t="s">
        <v>791</v>
      </c>
      <c r="C18" s="1124">
        <f t="shared" si="2"/>
        <v>0</v>
      </c>
      <c r="D18" s="1124">
        <f t="shared" si="2"/>
        <v>0</v>
      </c>
      <c r="E18" s="1124">
        <f t="shared" si="2"/>
        <v>0</v>
      </c>
      <c r="F18" s="1124">
        <f t="shared" si="2"/>
        <v>0</v>
      </c>
      <c r="G18" s="1125"/>
      <c r="H18" s="1125"/>
      <c r="I18" s="1125"/>
      <c r="J18" s="1125"/>
      <c r="K18" s="1125"/>
      <c r="L18" s="1125"/>
      <c r="M18" s="1125"/>
      <c r="N18" s="1125"/>
    </row>
    <row r="19" spans="1:14" s="1123" customFormat="1" ht="27.75" customHeight="1">
      <c r="A19" s="900">
        <v>6</v>
      </c>
      <c r="B19" s="913" t="s">
        <v>792</v>
      </c>
      <c r="C19" s="1124">
        <f t="shared" si="2"/>
        <v>1</v>
      </c>
      <c r="D19" s="1124">
        <f t="shared" si="2"/>
        <v>4300</v>
      </c>
      <c r="E19" s="1124">
        <f t="shared" si="2"/>
        <v>1</v>
      </c>
      <c r="F19" s="1124">
        <f t="shared" si="2"/>
        <v>4300</v>
      </c>
      <c r="G19" s="1125"/>
      <c r="H19" s="1125"/>
      <c r="I19" s="1125"/>
      <c r="J19" s="1125"/>
      <c r="K19" s="1125">
        <v>1</v>
      </c>
      <c r="L19" s="1125">
        <v>4300</v>
      </c>
      <c r="M19" s="1125">
        <v>1</v>
      </c>
      <c r="N19" s="1125">
        <v>4300</v>
      </c>
    </row>
    <row r="20" spans="1:14" s="1123" customFormat="1" ht="27.75" customHeight="1">
      <c r="A20" s="900">
        <v>7</v>
      </c>
      <c r="B20" s="913" t="s">
        <v>793</v>
      </c>
      <c r="C20" s="1124">
        <f t="shared" si="2"/>
        <v>24</v>
      </c>
      <c r="D20" s="1124">
        <f t="shared" si="2"/>
        <v>55002</v>
      </c>
      <c r="E20" s="1124">
        <f t="shared" si="2"/>
        <v>24</v>
      </c>
      <c r="F20" s="1124">
        <f t="shared" si="2"/>
        <v>55002</v>
      </c>
      <c r="G20" s="1126">
        <v>24</v>
      </c>
      <c r="H20" s="1126">
        <v>55002</v>
      </c>
      <c r="I20" s="1126">
        <v>24</v>
      </c>
      <c r="J20" s="1126">
        <v>55002</v>
      </c>
      <c r="K20" s="1125"/>
      <c r="L20" s="1125"/>
      <c r="M20" s="1125"/>
      <c r="N20" s="1125"/>
    </row>
    <row r="21" spans="1:14" s="1123" customFormat="1" ht="27.75" customHeight="1">
      <c r="A21" s="900">
        <v>8</v>
      </c>
      <c r="B21" s="913" t="s">
        <v>794</v>
      </c>
      <c r="C21" s="1124">
        <f t="shared" si="2"/>
        <v>3</v>
      </c>
      <c r="D21" s="1124">
        <f t="shared" si="2"/>
        <v>10224</v>
      </c>
      <c r="E21" s="1124">
        <f t="shared" si="2"/>
        <v>3</v>
      </c>
      <c r="F21" s="1124">
        <f t="shared" si="2"/>
        <v>10224</v>
      </c>
      <c r="G21" s="1125">
        <v>3</v>
      </c>
      <c r="H21" s="1125">
        <v>10224</v>
      </c>
      <c r="I21" s="1125">
        <v>3</v>
      </c>
      <c r="J21" s="1125">
        <v>10224</v>
      </c>
      <c r="K21" s="1125"/>
      <c r="L21" s="1125"/>
      <c r="M21" s="1125"/>
      <c r="N21" s="1125"/>
    </row>
    <row r="22" spans="1:14" s="1123" customFormat="1" ht="27.75" customHeight="1">
      <c r="A22" s="900">
        <v>9</v>
      </c>
      <c r="B22" s="913" t="s">
        <v>795</v>
      </c>
      <c r="C22" s="1124">
        <f t="shared" si="2"/>
        <v>9</v>
      </c>
      <c r="D22" s="1124">
        <f t="shared" si="2"/>
        <v>54000</v>
      </c>
      <c r="E22" s="1124">
        <f t="shared" si="2"/>
        <v>8</v>
      </c>
      <c r="F22" s="1124">
        <f t="shared" si="2"/>
        <v>50000</v>
      </c>
      <c r="G22" s="1125">
        <v>8</v>
      </c>
      <c r="H22" s="1125">
        <v>50000</v>
      </c>
      <c r="I22" s="1125">
        <v>8</v>
      </c>
      <c r="J22" s="1125">
        <v>50000</v>
      </c>
      <c r="K22" s="1125">
        <v>1</v>
      </c>
      <c r="L22" s="1125">
        <v>4000</v>
      </c>
      <c r="M22" s="1125"/>
      <c r="N22" s="1125"/>
    </row>
    <row r="23" spans="1:14" s="1123" customFormat="1" ht="27.75" customHeight="1">
      <c r="A23" s="900">
        <v>10</v>
      </c>
      <c r="B23" s="913" t="s">
        <v>796</v>
      </c>
      <c r="C23" s="1124">
        <v>11</v>
      </c>
      <c r="D23" s="1124">
        <f aca="true" t="shared" si="3" ref="D23:F24">H23+L23</f>
        <v>47391</v>
      </c>
      <c r="E23" s="1124">
        <f t="shared" si="3"/>
        <v>11</v>
      </c>
      <c r="F23" s="1124">
        <f t="shared" si="3"/>
        <v>47391</v>
      </c>
      <c r="G23" s="1126">
        <v>11</v>
      </c>
      <c r="H23" s="1126">
        <v>24635</v>
      </c>
      <c r="I23" s="1126">
        <v>11</v>
      </c>
      <c r="J23" s="1126">
        <v>24635</v>
      </c>
      <c r="K23" s="1126"/>
      <c r="L23" s="1126">
        <v>22756</v>
      </c>
      <c r="M23" s="1126"/>
      <c r="N23" s="1126">
        <v>22756</v>
      </c>
    </row>
    <row r="24" spans="1:14" s="1123" customFormat="1" ht="27.75" customHeight="1">
      <c r="A24" s="900">
        <v>11</v>
      </c>
      <c r="B24" s="913" t="s">
        <v>797</v>
      </c>
      <c r="C24" s="1124">
        <f>G24+K24</f>
        <v>0</v>
      </c>
      <c r="D24" s="1124">
        <f t="shared" si="3"/>
        <v>0</v>
      </c>
      <c r="E24" s="1124">
        <f t="shared" si="3"/>
        <v>0</v>
      </c>
      <c r="F24" s="1124">
        <f t="shared" si="3"/>
        <v>0</v>
      </c>
      <c r="G24" s="1125"/>
      <c r="H24" s="1125"/>
      <c r="I24" s="1125"/>
      <c r="J24" s="1125"/>
      <c r="K24" s="1125"/>
      <c r="L24" s="1125"/>
      <c r="M24" s="1125"/>
      <c r="N24" s="1125"/>
    </row>
    <row r="25" spans="1:14" s="1123" customFormat="1" ht="27.75" customHeight="1">
      <c r="A25" s="900">
        <v>12</v>
      </c>
      <c r="B25" s="913" t="s">
        <v>798</v>
      </c>
      <c r="C25" s="1124">
        <f t="shared" si="2"/>
        <v>0</v>
      </c>
      <c r="D25" s="1124">
        <f t="shared" si="2"/>
        <v>0</v>
      </c>
      <c r="E25" s="1124">
        <f t="shared" si="2"/>
        <v>0</v>
      </c>
      <c r="F25" s="1124">
        <f t="shared" si="2"/>
        <v>0</v>
      </c>
      <c r="G25" s="1125"/>
      <c r="H25" s="1125"/>
      <c r="I25" s="1125"/>
      <c r="J25" s="1125"/>
      <c r="K25" s="1125"/>
      <c r="L25" s="1125"/>
      <c r="M25" s="1125"/>
      <c r="N25" s="1125"/>
    </row>
    <row r="26" spans="1:14" s="1123" customFormat="1" ht="27.75" customHeight="1">
      <c r="A26" s="900">
        <v>13</v>
      </c>
      <c r="B26" s="913" t="s">
        <v>799</v>
      </c>
      <c r="C26" s="1124">
        <f>G26+K26</f>
        <v>3</v>
      </c>
      <c r="D26" s="1124">
        <f>H26+L26</f>
        <v>14400</v>
      </c>
      <c r="E26" s="1124">
        <f>I26+M26</f>
        <v>3</v>
      </c>
      <c r="F26" s="1124">
        <f>J26+N26</f>
        <v>14400</v>
      </c>
      <c r="G26" s="1124">
        <v>3</v>
      </c>
      <c r="H26" s="1124">
        <v>14400</v>
      </c>
      <c r="I26" s="1124">
        <v>3</v>
      </c>
      <c r="J26" s="1124">
        <v>14400</v>
      </c>
      <c r="K26" s="1125"/>
      <c r="L26" s="1125"/>
      <c r="M26" s="1125"/>
      <c r="N26" s="1125"/>
    </row>
    <row r="27" spans="1:14" s="1123" customFormat="1" ht="27.75" customHeight="1">
      <c r="A27" s="900">
        <v>14</v>
      </c>
      <c r="B27" s="913" t="s">
        <v>800</v>
      </c>
      <c r="C27" s="1124">
        <f t="shared" si="2"/>
        <v>3</v>
      </c>
      <c r="D27" s="1124">
        <f t="shared" si="2"/>
        <v>8994</v>
      </c>
      <c r="E27" s="1124">
        <f t="shared" si="2"/>
        <v>3</v>
      </c>
      <c r="F27" s="1124">
        <f t="shared" si="2"/>
        <v>8994</v>
      </c>
      <c r="G27" s="1125">
        <v>3</v>
      </c>
      <c r="H27" s="1125">
        <v>8994</v>
      </c>
      <c r="I27" s="1125">
        <v>3</v>
      </c>
      <c r="J27" s="1125">
        <v>8994</v>
      </c>
      <c r="K27" s="1125"/>
      <c r="L27" s="1125"/>
      <c r="M27" s="1125"/>
      <c r="N27" s="1125"/>
    </row>
    <row r="28" spans="1:14" s="1123" customFormat="1" ht="27.75" customHeight="1">
      <c r="A28" s="900">
        <v>15</v>
      </c>
      <c r="B28" s="913" t="s">
        <v>801</v>
      </c>
      <c r="C28" s="1124">
        <f t="shared" si="2"/>
        <v>0</v>
      </c>
      <c r="D28" s="1124">
        <f t="shared" si="2"/>
        <v>0</v>
      </c>
      <c r="E28" s="1124">
        <f t="shared" si="2"/>
        <v>0</v>
      </c>
      <c r="F28" s="1124">
        <f t="shared" si="2"/>
        <v>0</v>
      </c>
      <c r="G28" s="1125"/>
      <c r="H28" s="1125"/>
      <c r="I28" s="1125"/>
      <c r="J28" s="1125"/>
      <c r="K28" s="1125"/>
      <c r="L28" s="1125"/>
      <c r="M28" s="1125"/>
      <c r="N28" s="1125"/>
    </row>
    <row r="29" spans="1:14" s="1130" customFormat="1" ht="23.25" customHeight="1">
      <c r="A29" s="998"/>
      <c r="B29" s="1635"/>
      <c r="C29" s="1635"/>
      <c r="D29" s="1635"/>
      <c r="E29" s="1635"/>
      <c r="F29" s="1128"/>
      <c r="G29" s="1129"/>
      <c r="H29" s="1129"/>
      <c r="I29" s="1129"/>
      <c r="J29" s="1635" t="str">
        <f>'Thong tin'!B8</f>
        <v>Hải Phòng, ngày 03 tháng 8 năm 2017</v>
      </c>
      <c r="K29" s="1635"/>
      <c r="L29" s="1635"/>
      <c r="M29" s="1635"/>
      <c r="N29" s="1635"/>
    </row>
    <row r="30" spans="1:14" s="1134" customFormat="1" ht="24.75" customHeight="1">
      <c r="A30" s="1131"/>
      <c r="B30" s="1636" t="s">
        <v>43</v>
      </c>
      <c r="C30" s="1636"/>
      <c r="D30" s="1636"/>
      <c r="E30" s="1636"/>
      <c r="F30" s="1132"/>
      <c r="G30" s="1133"/>
      <c r="H30" s="1133"/>
      <c r="I30" s="1133"/>
      <c r="J30" s="1636" t="str">
        <f>'Thong tin'!B7</f>
        <v>
PHÓ CỤC TRƯỞNG</v>
      </c>
      <c r="K30" s="1636"/>
      <c r="L30" s="1636"/>
      <c r="M30" s="1636"/>
      <c r="N30" s="1636"/>
    </row>
    <row r="31" spans="1:14" s="1134" customFormat="1" ht="24.75" customHeight="1">
      <c r="A31" s="1131"/>
      <c r="B31" s="1628"/>
      <c r="C31" s="1628"/>
      <c r="D31" s="1628"/>
      <c r="E31" s="1132"/>
      <c r="F31" s="1132"/>
      <c r="G31" s="1133"/>
      <c r="H31" s="1133"/>
      <c r="I31" s="1133"/>
      <c r="J31" s="1627"/>
      <c r="K31" s="1627"/>
      <c r="L31" s="1627"/>
      <c r="M31" s="1627"/>
      <c r="N31" s="1627"/>
    </row>
    <row r="32" spans="1:14" s="1134" customFormat="1" ht="24.75" customHeight="1">
      <c r="A32" s="1131"/>
      <c r="B32" s="1636"/>
      <c r="C32" s="1636"/>
      <c r="D32" s="1636"/>
      <c r="E32" s="1636"/>
      <c r="F32" s="1132"/>
      <c r="G32" s="1133"/>
      <c r="H32" s="1133"/>
      <c r="I32" s="1133"/>
      <c r="J32" s="1132"/>
      <c r="K32" s="1636"/>
      <c r="L32" s="1636"/>
      <c r="M32" s="1636"/>
      <c r="N32" s="1132"/>
    </row>
    <row r="33" spans="1:14" s="1134" customFormat="1" ht="24.75" customHeight="1">
      <c r="A33" s="1131"/>
      <c r="B33" s="1132"/>
      <c r="C33" s="1132"/>
      <c r="D33" s="1132"/>
      <c r="E33" s="1132"/>
      <c r="F33" s="1132"/>
      <c r="G33" s="1133"/>
      <c r="H33" s="1133"/>
      <c r="I33" s="1133"/>
      <c r="J33" s="1132"/>
      <c r="K33" s="1132"/>
      <c r="L33" s="1132"/>
      <c r="M33" s="1132"/>
      <c r="N33" s="1132"/>
    </row>
    <row r="34" spans="2:14" ht="24.75" customHeight="1">
      <c r="B34" s="1135"/>
      <c r="C34" s="1135"/>
      <c r="D34" s="1135"/>
      <c r="E34" s="1135"/>
      <c r="F34" s="1135"/>
      <c r="G34" s="1135"/>
      <c r="H34" s="1135"/>
      <c r="I34" s="1135"/>
      <c r="J34" s="1135"/>
      <c r="K34" s="1135"/>
      <c r="L34" s="1135"/>
      <c r="M34" s="1135"/>
      <c r="N34" s="1135"/>
    </row>
    <row r="35" spans="2:14" ht="24.75" customHeight="1">
      <c r="B35" s="1627" t="str">
        <f>'Thong tin'!B5</f>
        <v>Trần Thị Minh</v>
      </c>
      <c r="C35" s="1627"/>
      <c r="D35" s="1627"/>
      <c r="E35" s="1627"/>
      <c r="F35" s="1135"/>
      <c r="G35" s="1135"/>
      <c r="H35" s="1135"/>
      <c r="I35" s="1135"/>
      <c r="J35" s="1627" t="str">
        <f>'Thong tin'!B6</f>
        <v>Nguyễn Thị Mai Hoa</v>
      </c>
      <c r="K35" s="1627"/>
      <c r="L35" s="1627"/>
      <c r="M35" s="1627"/>
      <c r="N35" s="1627"/>
    </row>
    <row r="36" spans="2:14" ht="18.75">
      <c r="B36" s="1136"/>
      <c r="C36" s="1137"/>
      <c r="D36" s="1137"/>
      <c r="E36" s="1137"/>
      <c r="F36" s="1137"/>
      <c r="G36" s="1137"/>
      <c r="H36" s="1137"/>
      <c r="I36" s="1137"/>
      <c r="J36" s="1137"/>
      <c r="K36" s="1137"/>
      <c r="L36" s="1137"/>
      <c r="M36" s="1137"/>
      <c r="N36" s="1137"/>
    </row>
    <row r="37" spans="7:10" ht="15.75">
      <c r="G37" s="1138"/>
      <c r="H37" s="1138"/>
      <c r="I37" s="1138"/>
      <c r="J37" s="1138"/>
    </row>
    <row r="38" spans="7:10" ht="15.75">
      <c r="G38" s="1138"/>
      <c r="H38" s="1138"/>
      <c r="I38" s="1138"/>
      <c r="J38" s="1138"/>
    </row>
    <row r="39" spans="7:10" ht="15.75">
      <c r="G39" s="1138"/>
      <c r="H39" s="1138"/>
      <c r="I39" s="1138"/>
      <c r="J39" s="1138"/>
    </row>
    <row r="40" spans="7:10" ht="15.75">
      <c r="G40" s="1138"/>
      <c r="H40" s="1138"/>
      <c r="I40" s="1138"/>
      <c r="J40" s="1138"/>
    </row>
    <row r="41" spans="7:10" ht="15.75">
      <c r="G41" s="1138"/>
      <c r="H41" s="1138"/>
      <c r="I41" s="1138"/>
      <c r="J41" s="1138"/>
    </row>
    <row r="42" spans="7:10" ht="15.75">
      <c r="G42" s="1138"/>
      <c r="H42" s="1138"/>
      <c r="I42" s="1138"/>
      <c r="J42" s="1138"/>
    </row>
    <row r="43" spans="7:10" ht="15.75">
      <c r="G43" s="1138"/>
      <c r="H43" s="1138"/>
      <c r="I43" s="1138"/>
      <c r="J43" s="1138"/>
    </row>
    <row r="44" spans="7:10" ht="15.75">
      <c r="G44" s="1138"/>
      <c r="H44" s="1138"/>
      <c r="I44" s="1138"/>
      <c r="J44" s="1138"/>
    </row>
  </sheetData>
  <sheetProtection/>
  <mergeCells count="31">
    <mergeCell ref="B32:E32"/>
    <mergeCell ref="K8:L8"/>
    <mergeCell ref="A10:B10"/>
    <mergeCell ref="K32:M32"/>
    <mergeCell ref="G8:H8"/>
    <mergeCell ref="M8:N8"/>
    <mergeCell ref="A11:B11"/>
    <mergeCell ref="G7:J7"/>
    <mergeCell ref="K7:N7"/>
    <mergeCell ref="J30:N30"/>
    <mergeCell ref="J31:N31"/>
    <mergeCell ref="I8:J8"/>
    <mergeCell ref="J29:N29"/>
    <mergeCell ref="B35:E35"/>
    <mergeCell ref="J35:N35"/>
    <mergeCell ref="B31:D31"/>
    <mergeCell ref="A6:B9"/>
    <mergeCell ref="C6:F7"/>
    <mergeCell ref="L4:N4"/>
    <mergeCell ref="B29:E29"/>
    <mergeCell ref="C8:D8"/>
    <mergeCell ref="E8:F8"/>
    <mergeCell ref="B30:E30"/>
    <mergeCell ref="E1:K2"/>
    <mergeCell ref="A2:D2"/>
    <mergeCell ref="L2:N2"/>
    <mergeCell ref="A3:D3"/>
    <mergeCell ref="E3:J3"/>
    <mergeCell ref="G6:N6"/>
    <mergeCell ref="L3:N3"/>
    <mergeCell ref="D5:K5"/>
  </mergeCells>
  <printOptions/>
  <pageMargins left="0.55" right="0.18" top="0.23" bottom="0.25" header="0.1" footer="0.08"/>
  <pageSetup horizontalDpi="600" verticalDpi="600" orientation="landscape" paperSize="9" scale="88" r:id="rId2"/>
  <ignoredErrors>
    <ignoredError sqref="C13:D13 C14:F14 F13" formula="1"/>
  </ignoredErrors>
  <drawing r:id="rId1"/>
</worksheet>
</file>

<file path=xl/worksheets/sheet25.xml><?xml version="1.0" encoding="utf-8"?>
<worksheet xmlns="http://schemas.openxmlformats.org/spreadsheetml/2006/main" xmlns:r="http://schemas.openxmlformats.org/officeDocument/2006/relationships">
  <sheetPr>
    <tabColor indexed="47"/>
  </sheetPr>
  <dimension ref="A1:S37"/>
  <sheetViews>
    <sheetView view="pageBreakPreview" zoomScaleSheetLayoutView="100" zoomScalePageLayoutView="0" workbookViewId="0" topLeftCell="A13">
      <selection activeCell="A21" sqref="A1:IV16384"/>
    </sheetView>
  </sheetViews>
  <sheetFormatPr defaultColWidth="9.00390625" defaultRowHeight="15.75"/>
  <cols>
    <col min="1" max="1" width="4.00390625" style="998" customWidth="1"/>
    <col min="2" max="2" width="23.375" style="998" customWidth="1"/>
    <col min="3" max="3" width="10.25390625" style="998" customWidth="1"/>
    <col min="4" max="6" width="7.875" style="998" customWidth="1"/>
    <col min="7" max="7" width="9.25390625" style="998" customWidth="1"/>
    <col min="8" max="8" width="9.125" style="998" customWidth="1"/>
    <col min="9" max="10" width="7.875" style="998" customWidth="1"/>
    <col min="11" max="11" width="7.125" style="998" customWidth="1"/>
    <col min="12" max="12" width="7.00390625" style="998" customWidth="1"/>
    <col min="13" max="13" width="7.875" style="998" customWidth="1"/>
    <col min="14" max="14" width="10.25390625" style="998" customWidth="1"/>
    <col min="15" max="16" width="7.875" style="998" customWidth="1"/>
    <col min="17" max="16384" width="9.00390625" style="998" customWidth="1"/>
  </cols>
  <sheetData>
    <row r="1" spans="1:16" ht="19.5" customHeight="1">
      <c r="A1" s="1648" t="s">
        <v>28</v>
      </c>
      <c r="B1" s="1648"/>
      <c r="C1" s="996"/>
      <c r="D1" s="1649" t="s">
        <v>655</v>
      </c>
      <c r="E1" s="1649"/>
      <c r="F1" s="1649"/>
      <c r="G1" s="1649"/>
      <c r="H1" s="1649"/>
      <c r="I1" s="1649"/>
      <c r="J1" s="1649"/>
      <c r="K1" s="1649"/>
      <c r="L1" s="1649"/>
      <c r="M1" s="1652" t="s">
        <v>400</v>
      </c>
      <c r="N1" s="1653"/>
      <c r="O1" s="1653"/>
      <c r="P1" s="1653"/>
    </row>
    <row r="2" spans="1:16" ht="21" customHeight="1">
      <c r="A2" s="1669" t="s">
        <v>344</v>
      </c>
      <c r="B2" s="1669"/>
      <c r="C2" s="1669"/>
      <c r="D2" s="1649"/>
      <c r="E2" s="1649"/>
      <c r="F2" s="1649"/>
      <c r="G2" s="1649"/>
      <c r="H2" s="1649"/>
      <c r="I2" s="1649"/>
      <c r="J2" s="1649"/>
      <c r="K2" s="1649"/>
      <c r="L2" s="1649"/>
      <c r="M2" s="1670" t="str">
        <f>'Thong tin'!B4</f>
        <v>CTHADS Hải Phòng</v>
      </c>
      <c r="N2" s="1671"/>
      <c r="O2" s="1671"/>
      <c r="P2" s="1671"/>
    </row>
    <row r="3" spans="1:13" ht="19.5" customHeight="1">
      <c r="A3" s="997" t="s">
        <v>673</v>
      </c>
      <c r="D3" s="1649"/>
      <c r="E3" s="1649"/>
      <c r="F3" s="1649"/>
      <c r="G3" s="1649"/>
      <c r="H3" s="1649"/>
      <c r="I3" s="1649"/>
      <c r="J3" s="1649"/>
      <c r="K3" s="1649"/>
      <c r="L3" s="1649"/>
      <c r="M3" s="997" t="s">
        <v>656</v>
      </c>
    </row>
    <row r="4" spans="1:16" ht="18" customHeight="1">
      <c r="A4" s="1650" t="s">
        <v>402</v>
      </c>
      <c r="B4" s="1650"/>
      <c r="C4" s="1650"/>
      <c r="D4" s="1643" t="str">
        <f>'Thong tin'!B3</f>
        <v>10 tháng / năm 2017</v>
      </c>
      <c r="E4" s="1643"/>
      <c r="F4" s="1643"/>
      <c r="G4" s="1643"/>
      <c r="H4" s="1643"/>
      <c r="I4" s="1643"/>
      <c r="J4" s="1643"/>
      <c r="K4" s="1643"/>
      <c r="L4" s="1643"/>
      <c r="M4" s="1651" t="s">
        <v>403</v>
      </c>
      <c r="N4" s="1651"/>
      <c r="O4" s="1651"/>
      <c r="P4" s="1651"/>
    </row>
    <row r="5" spans="1:16" s="1093" customFormat="1" ht="13.5" customHeight="1">
      <c r="A5" s="1092"/>
      <c r="B5" s="1092"/>
      <c r="D5" s="1642"/>
      <c r="E5" s="1642"/>
      <c r="F5" s="1642"/>
      <c r="G5" s="1642"/>
      <c r="H5" s="1642"/>
      <c r="I5" s="1642"/>
      <c r="J5" s="1642"/>
      <c r="K5" s="1642"/>
      <c r="L5" s="1642"/>
      <c r="M5" s="1094" t="s">
        <v>404</v>
      </c>
      <c r="N5" s="1095"/>
      <c r="O5" s="1095"/>
      <c r="P5" s="1095"/>
    </row>
    <row r="6" spans="1:16" ht="51.75" customHeight="1">
      <c r="A6" s="1656" t="s">
        <v>72</v>
      </c>
      <c r="B6" s="1657"/>
      <c r="C6" s="1660" t="s">
        <v>100</v>
      </c>
      <c r="D6" s="1644"/>
      <c r="E6" s="1644"/>
      <c r="F6" s="1644"/>
      <c r="G6" s="1644"/>
      <c r="H6" s="1644"/>
      <c r="I6" s="1644"/>
      <c r="J6" s="1644"/>
      <c r="K6" s="1660" t="s">
        <v>99</v>
      </c>
      <c r="L6" s="1644"/>
      <c r="M6" s="1644"/>
      <c r="N6" s="1644"/>
      <c r="O6" s="1644"/>
      <c r="P6" s="1645"/>
    </row>
    <row r="7" spans="1:16" ht="15.75" customHeight="1">
      <c r="A7" s="1658"/>
      <c r="B7" s="1659"/>
      <c r="C7" s="1660" t="s">
        <v>3</v>
      </c>
      <c r="D7" s="1644"/>
      <c r="E7" s="1644"/>
      <c r="F7" s="1645"/>
      <c r="G7" s="1646" t="s">
        <v>10</v>
      </c>
      <c r="H7" s="1646"/>
      <c r="I7" s="1646"/>
      <c r="J7" s="1646"/>
      <c r="K7" s="1647" t="s">
        <v>3</v>
      </c>
      <c r="L7" s="1647"/>
      <c r="M7" s="1647"/>
      <c r="N7" s="1654" t="s">
        <v>10</v>
      </c>
      <c r="O7" s="1654"/>
      <c r="P7" s="1654"/>
    </row>
    <row r="8" spans="1:16" ht="30.75" customHeight="1">
      <c r="A8" s="1658"/>
      <c r="B8" s="1659"/>
      <c r="C8" s="1641" t="s">
        <v>405</v>
      </c>
      <c r="D8" s="1644" t="s">
        <v>96</v>
      </c>
      <c r="E8" s="1644"/>
      <c r="F8" s="1645"/>
      <c r="G8" s="1646" t="s">
        <v>406</v>
      </c>
      <c r="H8" s="1646" t="s">
        <v>96</v>
      </c>
      <c r="I8" s="1646"/>
      <c r="J8" s="1646"/>
      <c r="K8" s="1646" t="s">
        <v>39</v>
      </c>
      <c r="L8" s="1646" t="s">
        <v>97</v>
      </c>
      <c r="M8" s="1646"/>
      <c r="N8" s="1646" t="s">
        <v>80</v>
      </c>
      <c r="O8" s="1646" t="s">
        <v>97</v>
      </c>
      <c r="P8" s="1646"/>
    </row>
    <row r="9" spans="1:16" ht="46.5" customHeight="1">
      <c r="A9" s="1658"/>
      <c r="B9" s="1659"/>
      <c r="C9" s="1641"/>
      <c r="D9" s="1085" t="s">
        <v>44</v>
      </c>
      <c r="E9" s="1085" t="s">
        <v>45</v>
      </c>
      <c r="F9" s="1085" t="s">
        <v>48</v>
      </c>
      <c r="G9" s="1646"/>
      <c r="H9" s="1085" t="s">
        <v>44</v>
      </c>
      <c r="I9" s="1085" t="s">
        <v>45</v>
      </c>
      <c r="J9" s="1085" t="s">
        <v>48</v>
      </c>
      <c r="K9" s="1646"/>
      <c r="L9" s="1085" t="s">
        <v>16</v>
      </c>
      <c r="M9" s="1085" t="s">
        <v>15</v>
      </c>
      <c r="N9" s="1646"/>
      <c r="O9" s="1085" t="s">
        <v>16</v>
      </c>
      <c r="P9" s="1085" t="s">
        <v>15</v>
      </c>
    </row>
    <row r="10" spans="1:16" ht="15" customHeight="1">
      <c r="A10" s="1666" t="s">
        <v>6</v>
      </c>
      <c r="B10" s="1667"/>
      <c r="C10" s="1096">
        <v>1</v>
      </c>
      <c r="D10" s="1096" t="s">
        <v>53</v>
      </c>
      <c r="E10" s="1096" t="s">
        <v>58</v>
      </c>
      <c r="F10" s="1096" t="s">
        <v>73</v>
      </c>
      <c r="G10" s="1096" t="s">
        <v>74</v>
      </c>
      <c r="H10" s="1096" t="s">
        <v>75</v>
      </c>
      <c r="I10" s="1096" t="s">
        <v>76</v>
      </c>
      <c r="J10" s="1096" t="s">
        <v>77</v>
      </c>
      <c r="K10" s="1096" t="s">
        <v>78</v>
      </c>
      <c r="L10" s="1096" t="s">
        <v>101</v>
      </c>
      <c r="M10" s="1096" t="s">
        <v>102</v>
      </c>
      <c r="N10" s="1096" t="s">
        <v>103</v>
      </c>
      <c r="O10" s="1096" t="s">
        <v>104</v>
      </c>
      <c r="P10" s="1096" t="s">
        <v>105</v>
      </c>
    </row>
    <row r="11" spans="1:16" ht="15" customHeight="1">
      <c r="A11" s="1662" t="s">
        <v>41</v>
      </c>
      <c r="B11" s="1663"/>
      <c r="C11" s="1097">
        <f>C12+C13</f>
        <v>4</v>
      </c>
      <c r="D11" s="1097">
        <f aca="true" t="shared" si="0" ref="D11:P11">D12+D13</f>
        <v>1</v>
      </c>
      <c r="E11" s="1097">
        <f t="shared" si="0"/>
        <v>3</v>
      </c>
      <c r="F11" s="1097">
        <f t="shared" si="0"/>
        <v>0</v>
      </c>
      <c r="G11" s="1097">
        <f t="shared" si="0"/>
        <v>13605190</v>
      </c>
      <c r="H11" s="1097">
        <f t="shared" si="0"/>
        <v>8301851</v>
      </c>
      <c r="I11" s="1097">
        <f t="shared" si="0"/>
        <v>5303339</v>
      </c>
      <c r="J11" s="1097">
        <f t="shared" si="0"/>
        <v>0</v>
      </c>
      <c r="K11" s="1097">
        <f t="shared" si="0"/>
        <v>2</v>
      </c>
      <c r="L11" s="1097">
        <f t="shared" si="0"/>
        <v>1</v>
      </c>
      <c r="M11" s="1097">
        <f t="shared" si="0"/>
        <v>1</v>
      </c>
      <c r="N11" s="1097">
        <f t="shared" si="0"/>
        <v>4781499</v>
      </c>
      <c r="O11" s="1097">
        <f t="shared" si="0"/>
        <v>2869246</v>
      </c>
      <c r="P11" s="1097">
        <f t="shared" si="0"/>
        <v>1912253</v>
      </c>
    </row>
    <row r="12" spans="1:16" ht="15" customHeight="1">
      <c r="A12" s="909" t="s">
        <v>0</v>
      </c>
      <c r="B12" s="909" t="s">
        <v>786</v>
      </c>
      <c r="C12" s="1098">
        <f>D12+E12+F12</f>
        <v>0</v>
      </c>
      <c r="D12" s="1097"/>
      <c r="E12" s="1097"/>
      <c r="F12" s="1097"/>
      <c r="G12" s="1097">
        <f>H12+I12+J12</f>
        <v>0</v>
      </c>
      <c r="H12" s="1097"/>
      <c r="I12" s="1097"/>
      <c r="J12" s="1097"/>
      <c r="K12" s="1097">
        <f>L12+M12</f>
        <v>0</v>
      </c>
      <c r="L12" s="1097"/>
      <c r="M12" s="1097"/>
      <c r="N12" s="1097">
        <f>O12+P12</f>
        <v>0</v>
      </c>
      <c r="O12" s="1098"/>
      <c r="P12" s="1098"/>
    </row>
    <row r="13" spans="1:16" ht="15" customHeight="1">
      <c r="A13" s="1089" t="s">
        <v>1</v>
      </c>
      <c r="B13" s="909" t="s">
        <v>19</v>
      </c>
      <c r="C13" s="1098">
        <f>C14+C15+C16+C17+C18+C19+C20+C21+C22+C23+C24+C25+C26+C27+C28</f>
        <v>4</v>
      </c>
      <c r="D13" s="1098">
        <f aca="true" t="shared" si="1" ref="D13:P13">D14+D15+D16+D17+D18+D19+D20+D21+D22+D23+D24+D25+D26+D27+D28</f>
        <v>1</v>
      </c>
      <c r="E13" s="1098">
        <f t="shared" si="1"/>
        <v>3</v>
      </c>
      <c r="F13" s="1098">
        <f t="shared" si="1"/>
        <v>0</v>
      </c>
      <c r="G13" s="1098">
        <f t="shared" si="1"/>
        <v>13605190</v>
      </c>
      <c r="H13" s="1098">
        <f t="shared" si="1"/>
        <v>8301851</v>
      </c>
      <c r="I13" s="1098">
        <f t="shared" si="1"/>
        <v>5303339</v>
      </c>
      <c r="J13" s="1098">
        <f t="shared" si="1"/>
        <v>0</v>
      </c>
      <c r="K13" s="1098">
        <f t="shared" si="1"/>
        <v>2</v>
      </c>
      <c r="L13" s="1098">
        <f t="shared" si="1"/>
        <v>1</v>
      </c>
      <c r="M13" s="1098">
        <f t="shared" si="1"/>
        <v>1</v>
      </c>
      <c r="N13" s="1098">
        <f t="shared" si="1"/>
        <v>4781499</v>
      </c>
      <c r="O13" s="1098">
        <f t="shared" si="1"/>
        <v>2869246</v>
      </c>
      <c r="P13" s="1098">
        <f t="shared" si="1"/>
        <v>1912253</v>
      </c>
    </row>
    <row r="14" spans="1:16" ht="15" customHeight="1">
      <c r="A14" s="913">
        <v>1</v>
      </c>
      <c r="B14" s="913" t="s">
        <v>787</v>
      </c>
      <c r="C14" s="1098">
        <f aca="true" t="shared" si="2" ref="C14:C28">D14+E14+F14</f>
        <v>1</v>
      </c>
      <c r="D14" s="1097">
        <v>1</v>
      </c>
      <c r="E14" s="1097"/>
      <c r="F14" s="1097"/>
      <c r="G14" s="1099">
        <f aca="true" t="shared" si="3" ref="G14:G28">H14+I14+J14</f>
        <v>8301851</v>
      </c>
      <c r="H14" s="1100" t="s">
        <v>819</v>
      </c>
      <c r="I14" s="1097"/>
      <c r="J14" s="1097"/>
      <c r="K14" s="1097">
        <f aca="true" t="shared" si="4" ref="K14:K28">L14+M14</f>
        <v>0</v>
      </c>
      <c r="L14" s="1097"/>
      <c r="M14" s="1097"/>
      <c r="N14" s="1097">
        <f aca="true" t="shared" si="5" ref="N14:N28">O14+P14</f>
        <v>0</v>
      </c>
      <c r="O14" s="1098"/>
      <c r="P14" s="1098"/>
    </row>
    <row r="15" spans="1:16" ht="15" customHeight="1">
      <c r="A15" s="913">
        <v>2</v>
      </c>
      <c r="B15" s="913" t="s">
        <v>788</v>
      </c>
      <c r="C15" s="1101" t="s">
        <v>52</v>
      </c>
      <c r="D15" s="1102"/>
      <c r="E15" s="1102" t="s">
        <v>52</v>
      </c>
      <c r="F15" s="1102"/>
      <c r="G15" s="1099">
        <v>521840</v>
      </c>
      <c r="H15" s="1099"/>
      <c r="I15" s="1099">
        <v>521840</v>
      </c>
      <c r="J15" s="1097"/>
      <c r="K15" s="1097">
        <f t="shared" si="4"/>
        <v>0</v>
      </c>
      <c r="L15" s="1097"/>
      <c r="M15" s="1097"/>
      <c r="N15" s="1097">
        <f t="shared" si="5"/>
        <v>0</v>
      </c>
      <c r="O15" s="1098"/>
      <c r="P15" s="1098"/>
    </row>
    <row r="16" spans="1:16" ht="15" customHeight="1">
      <c r="A16" s="913">
        <v>3</v>
      </c>
      <c r="B16" s="913" t="s">
        <v>789</v>
      </c>
      <c r="C16" s="1098">
        <f t="shared" si="2"/>
        <v>0</v>
      </c>
      <c r="D16" s="1097"/>
      <c r="E16" s="1097"/>
      <c r="F16" s="1097"/>
      <c r="G16" s="1097">
        <f t="shared" si="3"/>
        <v>0</v>
      </c>
      <c r="H16" s="1097"/>
      <c r="I16" s="1097"/>
      <c r="J16" s="1097"/>
      <c r="K16" s="1097">
        <f t="shared" si="4"/>
        <v>0</v>
      </c>
      <c r="L16" s="1097"/>
      <c r="M16" s="1097"/>
      <c r="N16" s="1097">
        <f t="shared" si="5"/>
        <v>0</v>
      </c>
      <c r="O16" s="1098"/>
      <c r="P16" s="1098"/>
    </row>
    <row r="17" spans="1:16" ht="15" customHeight="1">
      <c r="A17" s="913">
        <v>4</v>
      </c>
      <c r="B17" s="913" t="s">
        <v>790</v>
      </c>
      <c r="C17" s="1098">
        <f t="shared" si="2"/>
        <v>0</v>
      </c>
      <c r="D17" s="1097"/>
      <c r="E17" s="1097"/>
      <c r="F17" s="1097"/>
      <c r="G17" s="1097">
        <f t="shared" si="3"/>
        <v>0</v>
      </c>
      <c r="H17" s="1097"/>
      <c r="I17" s="1097"/>
      <c r="J17" s="1097"/>
      <c r="K17" s="1097">
        <f t="shared" si="4"/>
        <v>0</v>
      </c>
      <c r="L17" s="1097"/>
      <c r="M17" s="1097"/>
      <c r="N17" s="1097">
        <f t="shared" si="5"/>
        <v>0</v>
      </c>
      <c r="O17" s="1098"/>
      <c r="P17" s="1098"/>
    </row>
    <row r="18" spans="1:16" ht="15" customHeight="1">
      <c r="A18" s="913">
        <v>5</v>
      </c>
      <c r="B18" s="913" t="s">
        <v>791</v>
      </c>
      <c r="C18" s="1103">
        <f>D18+E18+F18</f>
        <v>2</v>
      </c>
      <c r="D18" s="1103">
        <v>0</v>
      </c>
      <c r="E18" s="1103">
        <v>2</v>
      </c>
      <c r="F18" s="1103">
        <v>0</v>
      </c>
      <c r="G18" s="1103">
        <f>H18+I18+J18</f>
        <v>4781499</v>
      </c>
      <c r="H18" s="1103">
        <v>0</v>
      </c>
      <c r="I18" s="1103">
        <f>2869246+P18</f>
        <v>4781499</v>
      </c>
      <c r="J18" s="1103">
        <v>0</v>
      </c>
      <c r="K18" s="1103">
        <f>L18+M18</f>
        <v>2</v>
      </c>
      <c r="L18" s="1103">
        <v>1</v>
      </c>
      <c r="M18" s="1103">
        <v>1</v>
      </c>
      <c r="N18" s="1103">
        <f>O18+P18</f>
        <v>4781499</v>
      </c>
      <c r="O18" s="1103">
        <v>2869246</v>
      </c>
      <c r="P18" s="1103">
        <v>1912253</v>
      </c>
    </row>
    <row r="19" spans="1:16" ht="15" customHeight="1">
      <c r="A19" s="913">
        <v>6</v>
      </c>
      <c r="B19" s="913" t="s">
        <v>792</v>
      </c>
      <c r="C19" s="1098">
        <f>G19</f>
        <v>0</v>
      </c>
      <c r="D19" s="1097"/>
      <c r="E19" s="1097"/>
      <c r="F19" s="1097"/>
      <c r="G19" s="1097">
        <f t="shared" si="3"/>
        <v>0</v>
      </c>
      <c r="H19" s="1097"/>
      <c r="I19" s="1097"/>
      <c r="J19" s="1097"/>
      <c r="K19" s="1097">
        <f t="shared" si="4"/>
        <v>0</v>
      </c>
      <c r="L19" s="1097"/>
      <c r="M19" s="1097"/>
      <c r="N19" s="1097">
        <f t="shared" si="5"/>
        <v>0</v>
      </c>
      <c r="O19" s="1098"/>
      <c r="P19" s="1098"/>
    </row>
    <row r="20" spans="1:16" ht="15" customHeight="1">
      <c r="A20" s="913">
        <v>7</v>
      </c>
      <c r="B20" s="913" t="s">
        <v>793</v>
      </c>
      <c r="C20" s="1098">
        <f t="shared" si="2"/>
        <v>0</v>
      </c>
      <c r="D20" s="1097"/>
      <c r="E20" s="1097"/>
      <c r="F20" s="1097"/>
      <c r="G20" s="1097">
        <f t="shared" si="3"/>
        <v>0</v>
      </c>
      <c r="H20" s="1097"/>
      <c r="I20" s="1097"/>
      <c r="J20" s="1097"/>
      <c r="K20" s="1097">
        <f t="shared" si="4"/>
        <v>0</v>
      </c>
      <c r="L20" s="1097"/>
      <c r="M20" s="1097"/>
      <c r="N20" s="1097">
        <f t="shared" si="5"/>
        <v>0</v>
      </c>
      <c r="O20" s="1098"/>
      <c r="P20" s="1098"/>
    </row>
    <row r="21" spans="1:16" ht="15" customHeight="1">
      <c r="A21" s="913">
        <v>8</v>
      </c>
      <c r="B21" s="913" t="s">
        <v>794</v>
      </c>
      <c r="C21" s="1098">
        <f t="shared" si="2"/>
        <v>0</v>
      </c>
      <c r="D21" s="1097"/>
      <c r="E21" s="1097"/>
      <c r="F21" s="1097"/>
      <c r="G21" s="1097">
        <f t="shared" si="3"/>
        <v>0</v>
      </c>
      <c r="H21" s="1097"/>
      <c r="I21" s="1097"/>
      <c r="J21" s="1097"/>
      <c r="K21" s="1097">
        <f t="shared" si="4"/>
        <v>0</v>
      </c>
      <c r="L21" s="1097"/>
      <c r="M21" s="1097"/>
      <c r="N21" s="1097">
        <f t="shared" si="5"/>
        <v>0</v>
      </c>
      <c r="O21" s="1098"/>
      <c r="P21" s="1098"/>
    </row>
    <row r="22" spans="1:16" ht="15" customHeight="1">
      <c r="A22" s="913">
        <v>9</v>
      </c>
      <c r="B22" s="913" t="s">
        <v>795</v>
      </c>
      <c r="C22" s="1098">
        <f t="shared" si="2"/>
        <v>0</v>
      </c>
      <c r="D22" s="1097"/>
      <c r="E22" s="1097"/>
      <c r="F22" s="1097"/>
      <c r="G22" s="1097">
        <f t="shared" si="3"/>
        <v>0</v>
      </c>
      <c r="H22" s="1097"/>
      <c r="I22" s="1097"/>
      <c r="J22" s="1097"/>
      <c r="K22" s="1097">
        <f t="shared" si="4"/>
        <v>0</v>
      </c>
      <c r="L22" s="1097"/>
      <c r="M22" s="1097"/>
      <c r="N22" s="1097">
        <f t="shared" si="5"/>
        <v>0</v>
      </c>
      <c r="O22" s="1098"/>
      <c r="P22" s="1098"/>
    </row>
    <row r="23" spans="1:16" ht="15" customHeight="1">
      <c r="A23" s="913">
        <v>10</v>
      </c>
      <c r="B23" s="913" t="s">
        <v>796</v>
      </c>
      <c r="C23" s="1098">
        <f t="shared" si="2"/>
        <v>0</v>
      </c>
      <c r="D23" s="1097"/>
      <c r="E23" s="1097"/>
      <c r="F23" s="1097"/>
      <c r="G23" s="1097">
        <f t="shared" si="3"/>
        <v>0</v>
      </c>
      <c r="H23" s="1097"/>
      <c r="I23" s="1097"/>
      <c r="J23" s="1097"/>
      <c r="K23" s="1097">
        <f t="shared" si="4"/>
        <v>0</v>
      </c>
      <c r="L23" s="1097"/>
      <c r="M23" s="1097"/>
      <c r="N23" s="1097">
        <f t="shared" si="5"/>
        <v>0</v>
      </c>
      <c r="O23" s="1098"/>
      <c r="P23" s="1098"/>
    </row>
    <row r="24" spans="1:19" ht="15" customHeight="1">
      <c r="A24" s="913">
        <v>11</v>
      </c>
      <c r="B24" s="913" t="s">
        <v>797</v>
      </c>
      <c r="C24" s="1098">
        <f t="shared" si="2"/>
        <v>0</v>
      </c>
      <c r="D24" s="1097"/>
      <c r="E24" s="1097"/>
      <c r="F24" s="1097"/>
      <c r="G24" s="1097">
        <f t="shared" si="3"/>
        <v>0</v>
      </c>
      <c r="H24" s="1097"/>
      <c r="I24" s="1097"/>
      <c r="J24" s="1097"/>
      <c r="K24" s="1097">
        <f t="shared" si="4"/>
        <v>0</v>
      </c>
      <c r="L24" s="1097"/>
      <c r="M24" s="1097"/>
      <c r="N24" s="1097">
        <f t="shared" si="5"/>
        <v>0</v>
      </c>
      <c r="O24" s="1098"/>
      <c r="P24" s="1098"/>
      <c r="S24" s="1104"/>
    </row>
    <row r="25" spans="1:19" ht="15" customHeight="1">
      <c r="A25" s="913">
        <v>12</v>
      </c>
      <c r="B25" s="913" t="s">
        <v>798</v>
      </c>
      <c r="C25" s="1098">
        <f t="shared" si="2"/>
        <v>0</v>
      </c>
      <c r="D25" s="1097"/>
      <c r="E25" s="1097"/>
      <c r="F25" s="1097"/>
      <c r="G25" s="1097">
        <f t="shared" si="3"/>
        <v>0</v>
      </c>
      <c r="H25" s="1097"/>
      <c r="I25" s="1097"/>
      <c r="J25" s="1097"/>
      <c r="K25" s="1097">
        <f t="shared" si="4"/>
        <v>0</v>
      </c>
      <c r="L25" s="1097"/>
      <c r="M25" s="1097"/>
      <c r="N25" s="1097">
        <f t="shared" si="5"/>
        <v>0</v>
      </c>
      <c r="O25" s="1098"/>
      <c r="P25" s="1098"/>
      <c r="S25" s="1104"/>
    </row>
    <row r="26" spans="1:19" ht="15" customHeight="1">
      <c r="A26" s="913">
        <v>13</v>
      </c>
      <c r="B26" s="913" t="s">
        <v>799</v>
      </c>
      <c r="C26" s="1098">
        <f t="shared" si="2"/>
        <v>0</v>
      </c>
      <c r="D26" s="1105"/>
      <c r="E26" s="1105">
        <v>0</v>
      </c>
      <c r="F26" s="1105">
        <v>0</v>
      </c>
      <c r="G26" s="1097">
        <f t="shared" si="3"/>
        <v>0</v>
      </c>
      <c r="H26" s="1105"/>
      <c r="I26" s="1097"/>
      <c r="J26" s="1097"/>
      <c r="K26" s="1097">
        <f t="shared" si="4"/>
        <v>0</v>
      </c>
      <c r="L26" s="1097"/>
      <c r="M26" s="1097"/>
      <c r="N26" s="1097">
        <f t="shared" si="5"/>
        <v>0</v>
      </c>
      <c r="O26" s="1098"/>
      <c r="P26" s="1098"/>
      <c r="S26" s="1104"/>
    </row>
    <row r="27" spans="1:19" ht="15" customHeight="1">
      <c r="A27" s="913">
        <v>14</v>
      </c>
      <c r="B27" s="913" t="s">
        <v>800</v>
      </c>
      <c r="C27" s="1098">
        <f t="shared" si="2"/>
        <v>0</v>
      </c>
      <c r="D27" s="1097"/>
      <c r="E27" s="1097"/>
      <c r="F27" s="1097"/>
      <c r="G27" s="1097">
        <f t="shared" si="3"/>
        <v>0</v>
      </c>
      <c r="H27" s="1097"/>
      <c r="I27" s="1097"/>
      <c r="J27" s="1097"/>
      <c r="K27" s="1097">
        <f t="shared" si="4"/>
        <v>0</v>
      </c>
      <c r="L27" s="1097"/>
      <c r="M27" s="1097"/>
      <c r="N27" s="1097">
        <f t="shared" si="5"/>
        <v>0</v>
      </c>
      <c r="O27" s="1098"/>
      <c r="P27" s="1098"/>
      <c r="S27" s="1104"/>
    </row>
    <row r="28" spans="1:19" ht="15" customHeight="1">
      <c r="A28" s="913">
        <v>15</v>
      </c>
      <c r="B28" s="913" t="s">
        <v>801</v>
      </c>
      <c r="C28" s="1098">
        <f t="shared" si="2"/>
        <v>0</v>
      </c>
      <c r="D28" s="1097"/>
      <c r="E28" s="1097"/>
      <c r="F28" s="1097"/>
      <c r="G28" s="1097">
        <f t="shared" si="3"/>
        <v>0</v>
      </c>
      <c r="H28" s="1097"/>
      <c r="I28" s="1097"/>
      <c r="J28" s="1097"/>
      <c r="K28" s="1097">
        <f t="shared" si="4"/>
        <v>0</v>
      </c>
      <c r="L28" s="1097"/>
      <c r="M28" s="1097"/>
      <c r="N28" s="1097">
        <f t="shared" si="5"/>
        <v>0</v>
      </c>
      <c r="O28" s="1098"/>
      <c r="P28" s="1098"/>
      <c r="S28" s="1104"/>
    </row>
    <row r="29" spans="1:16" ht="17.25" customHeight="1">
      <c r="A29" s="1106"/>
      <c r="B29" s="1107"/>
      <c r="C29" s="1108"/>
      <c r="D29" s="1108"/>
      <c r="E29" s="1108"/>
      <c r="F29" s="1108"/>
      <c r="G29" s="1108"/>
      <c r="H29" s="1108"/>
      <c r="I29" s="1108"/>
      <c r="J29" s="1108"/>
      <c r="K29" s="1108"/>
      <c r="L29" s="1108"/>
      <c r="M29" s="1672" t="str">
        <f>'Thong tin'!B8</f>
        <v>Hải Phòng, ngày 03 tháng 8 năm 2017</v>
      </c>
      <c r="N29" s="1672"/>
      <c r="O29" s="1672"/>
      <c r="P29" s="1672"/>
    </row>
    <row r="30" spans="1:16" ht="33.75" customHeight="1">
      <c r="A30" s="1109"/>
      <c r="B30" s="1673" t="s">
        <v>4</v>
      </c>
      <c r="C30" s="1673"/>
      <c r="D30" s="1673"/>
      <c r="E30" s="1110"/>
      <c r="F30" s="1110"/>
      <c r="G30" s="1110"/>
      <c r="H30" s="1110"/>
      <c r="I30" s="1110"/>
      <c r="J30" s="1110"/>
      <c r="K30" s="1109"/>
      <c r="L30" s="1668" t="str">
        <f>'Thong tin'!B7</f>
        <v>
PHÓ CỤC TRƯỞNG</v>
      </c>
      <c r="M30" s="1668"/>
      <c r="N30" s="1668"/>
      <c r="O30" s="1668"/>
      <c r="P30" s="1668"/>
    </row>
    <row r="31" spans="2:16" ht="21" customHeight="1">
      <c r="B31" s="1111"/>
      <c r="C31" s="1111"/>
      <c r="D31" s="1111"/>
      <c r="E31" s="1111"/>
      <c r="F31" s="1112"/>
      <c r="G31" s="1112"/>
      <c r="H31" s="1112"/>
      <c r="I31" s="1112"/>
      <c r="J31" s="1112"/>
      <c r="K31" s="1112"/>
      <c r="L31" s="1112"/>
      <c r="M31" s="1112"/>
      <c r="N31" s="1112"/>
      <c r="O31" s="1112"/>
      <c r="P31" s="1112"/>
    </row>
    <row r="32" ht="11.25" customHeight="1"/>
    <row r="33" spans="2:16" ht="16.5" customHeight="1">
      <c r="B33" s="1664"/>
      <c r="C33" s="1664"/>
      <c r="D33" s="1664"/>
      <c r="K33" s="1665"/>
      <c r="L33" s="1665"/>
      <c r="M33" s="1665"/>
      <c r="N33" s="1665"/>
      <c r="O33" s="1665"/>
      <c r="P33" s="1665"/>
    </row>
    <row r="34" ht="15" customHeight="1"/>
    <row r="35" spans="2:16" ht="15.75">
      <c r="B35" s="1661" t="str">
        <f>'Thong tin'!B5</f>
        <v>Trần Thị Minh</v>
      </c>
      <c r="C35" s="1661"/>
      <c r="D35" s="1661"/>
      <c r="E35" s="1113"/>
      <c r="L35" s="1655" t="str">
        <f>'Thong tin'!B6</f>
        <v>Nguyễn Thị Mai Hoa</v>
      </c>
      <c r="M35" s="1655"/>
      <c r="N35" s="1655"/>
      <c r="O35" s="1655"/>
      <c r="P35" s="1655"/>
    </row>
    <row r="37" spans="12:16" ht="15.75">
      <c r="L37" s="1114"/>
      <c r="M37" s="1114"/>
      <c r="N37" s="1114"/>
      <c r="O37" s="1114"/>
      <c r="P37" s="1114"/>
    </row>
  </sheetData>
  <sheetProtection/>
  <mergeCells count="33">
    <mergeCell ref="B33:D33"/>
    <mergeCell ref="K33:P33"/>
    <mergeCell ref="A10:B10"/>
    <mergeCell ref="L30:P30"/>
    <mergeCell ref="L8:M8"/>
    <mergeCell ref="A2:C2"/>
    <mergeCell ref="M2:P2"/>
    <mergeCell ref="K8:K9"/>
    <mergeCell ref="M29:P29"/>
    <mergeCell ref="B30:D30"/>
    <mergeCell ref="L35:P35"/>
    <mergeCell ref="A6:B9"/>
    <mergeCell ref="C6:J6"/>
    <mergeCell ref="B35:D35"/>
    <mergeCell ref="G7:J7"/>
    <mergeCell ref="K6:P6"/>
    <mergeCell ref="G8:G9"/>
    <mergeCell ref="C7:F7"/>
    <mergeCell ref="N8:N9"/>
    <mergeCell ref="A11:B11"/>
    <mergeCell ref="A1:B1"/>
    <mergeCell ref="D1:L3"/>
    <mergeCell ref="A4:C4"/>
    <mergeCell ref="M4:P4"/>
    <mergeCell ref="M1:P1"/>
    <mergeCell ref="N7:P7"/>
    <mergeCell ref="C8:C9"/>
    <mergeCell ref="D5:L5"/>
    <mergeCell ref="D4:L4"/>
    <mergeCell ref="D8:F8"/>
    <mergeCell ref="O8:P8"/>
    <mergeCell ref="K7:M7"/>
    <mergeCell ref="H8:J8"/>
  </mergeCells>
  <printOptions/>
  <pageMargins left="0.3937007874015748" right="0" top="0.1968503937007874" bottom="0" header="0.07874015748031496" footer="0.1968503937007874"/>
  <pageSetup horizontalDpi="600" verticalDpi="600" orientation="landscape" paperSize="9" scale="90" r:id="rId1"/>
  <ignoredErrors>
    <ignoredError sqref="C13:C14 C19 C16:C17 K13" formula="1"/>
    <ignoredError sqref="D10:P10 H14 C15 E15" numberStoredAsText="1"/>
  </ignoredErrors>
</worksheet>
</file>

<file path=xl/worksheets/sheet26.xml><?xml version="1.0" encoding="utf-8"?>
<worksheet xmlns="http://schemas.openxmlformats.org/spreadsheetml/2006/main" xmlns:r="http://schemas.openxmlformats.org/officeDocument/2006/relationships">
  <sheetPr>
    <tabColor indexed="39"/>
  </sheetPr>
  <dimension ref="A1:L43"/>
  <sheetViews>
    <sheetView view="pageBreakPreview" zoomScaleSheetLayoutView="100" zoomScalePageLayoutView="0" workbookViewId="0" topLeftCell="A19">
      <selection activeCell="F18" sqref="F18"/>
    </sheetView>
  </sheetViews>
  <sheetFormatPr defaultColWidth="9.00390625" defaultRowHeight="15.75"/>
  <cols>
    <col min="1" max="1" width="4.625" style="550" customWidth="1"/>
    <col min="2" max="2" width="23.875" style="550" customWidth="1"/>
    <col min="3" max="3" width="11.375" style="550" customWidth="1"/>
    <col min="4" max="4" width="13.875" style="550" customWidth="1"/>
    <col min="5" max="5" width="15.375" style="550" customWidth="1"/>
    <col min="6" max="6" width="10.25390625" style="550" customWidth="1"/>
    <col min="7" max="7" width="11.75390625" style="550" customWidth="1"/>
    <col min="8" max="8" width="11.125" style="550" customWidth="1"/>
    <col min="9" max="9" width="10.25390625" style="550" customWidth="1"/>
    <col min="10" max="10" width="10.75390625" style="550" customWidth="1"/>
    <col min="11" max="12" width="10.25390625" style="550" customWidth="1"/>
    <col min="13" max="16384" width="9.00390625" style="550" customWidth="1"/>
  </cols>
  <sheetData>
    <row r="1" spans="1:12" ht="22.5" customHeight="1">
      <c r="A1" s="1648" t="s">
        <v>117</v>
      </c>
      <c r="B1" s="1648"/>
      <c r="C1" s="996"/>
      <c r="D1" s="1680" t="s">
        <v>663</v>
      </c>
      <c r="E1" s="1680"/>
      <c r="F1" s="1680"/>
      <c r="G1" s="1680"/>
      <c r="H1" s="1680"/>
      <c r="I1" s="1680"/>
      <c r="J1" s="1679" t="s">
        <v>657</v>
      </c>
      <c r="K1" s="1674"/>
      <c r="L1" s="1674"/>
    </row>
    <row r="2" spans="1:12" ht="15.75" customHeight="1">
      <c r="A2" s="1669" t="s">
        <v>344</v>
      </c>
      <c r="B2" s="1669"/>
      <c r="C2" s="1669"/>
      <c r="D2" s="1680"/>
      <c r="E2" s="1680"/>
      <c r="F2" s="1680"/>
      <c r="G2" s="1680"/>
      <c r="H2" s="1680"/>
      <c r="I2" s="1680"/>
      <c r="J2" s="1678" t="str">
        <f>'Thong tin'!B4</f>
        <v>CTHADS Hải Phòng</v>
      </c>
      <c r="K2" s="1678"/>
      <c r="L2" s="1678"/>
    </row>
    <row r="3" spans="1:12" ht="15.75" customHeight="1">
      <c r="A3" s="997" t="s">
        <v>673</v>
      </c>
      <c r="B3" s="998"/>
      <c r="C3" s="998"/>
      <c r="D3" s="1681" t="str">
        <f>'Thong tin'!B3</f>
        <v>10 tháng / năm 2017</v>
      </c>
      <c r="E3" s="1681"/>
      <c r="F3" s="1681"/>
      <c r="G3" s="1681"/>
      <c r="H3" s="1681"/>
      <c r="I3" s="1681"/>
      <c r="J3" s="1679" t="s">
        <v>466</v>
      </c>
      <c r="K3" s="1679"/>
      <c r="L3" s="1679"/>
    </row>
    <row r="4" spans="1:12" ht="15.75" customHeight="1">
      <c r="A4" s="1650" t="s">
        <v>402</v>
      </c>
      <c r="B4" s="1650"/>
      <c r="C4" s="1650"/>
      <c r="D4" s="1664"/>
      <c r="E4" s="1664"/>
      <c r="F4" s="1664"/>
      <c r="G4" s="1664"/>
      <c r="H4" s="1664"/>
      <c r="I4" s="1664"/>
      <c r="J4" s="1674" t="s">
        <v>412</v>
      </c>
      <c r="K4" s="1674"/>
      <c r="L4" s="1674"/>
    </row>
    <row r="5" spans="1:12" ht="15.75">
      <c r="A5" s="1082"/>
      <c r="B5" s="1082"/>
      <c r="C5" s="1083"/>
      <c r="D5" s="1083"/>
      <c r="E5" s="1083"/>
      <c r="F5" s="1083"/>
      <c r="G5" s="1083"/>
      <c r="H5" s="1083"/>
      <c r="I5" s="1083"/>
      <c r="J5" s="1675" t="s">
        <v>8</v>
      </c>
      <c r="K5" s="1675"/>
      <c r="L5" s="1675"/>
    </row>
    <row r="6" spans="1:12" ht="15" customHeight="1">
      <c r="A6" s="1676" t="s">
        <v>72</v>
      </c>
      <c r="B6" s="1676"/>
      <c r="C6" s="1646" t="s">
        <v>664</v>
      </c>
      <c r="D6" s="1654" t="s">
        <v>414</v>
      </c>
      <c r="E6" s="1654"/>
      <c r="F6" s="1654"/>
      <c r="G6" s="1654"/>
      <c r="H6" s="1654"/>
      <c r="I6" s="1654"/>
      <c r="J6" s="1676" t="s">
        <v>115</v>
      </c>
      <c r="K6" s="1676"/>
      <c r="L6" s="1676"/>
    </row>
    <row r="7" spans="1:12" ht="15" customHeight="1">
      <c r="A7" s="1676"/>
      <c r="B7" s="1676"/>
      <c r="C7" s="1646"/>
      <c r="D7" s="1677" t="s">
        <v>7</v>
      </c>
      <c r="E7" s="1677"/>
      <c r="F7" s="1677"/>
      <c r="G7" s="1677"/>
      <c r="H7" s="1677"/>
      <c r="I7" s="1677"/>
      <c r="J7" s="1646" t="s">
        <v>17</v>
      </c>
      <c r="K7" s="1646" t="s">
        <v>658</v>
      </c>
      <c r="L7" s="1646" t="s">
        <v>659</v>
      </c>
    </row>
    <row r="8" spans="1:12" ht="15" customHeight="1">
      <c r="A8" s="1676"/>
      <c r="B8" s="1676"/>
      <c r="C8" s="1646"/>
      <c r="D8" s="1676" t="s">
        <v>113</v>
      </c>
      <c r="E8" s="1676" t="s">
        <v>114</v>
      </c>
      <c r="F8" s="1676"/>
      <c r="G8" s="1676"/>
      <c r="H8" s="1676"/>
      <c r="I8" s="1676"/>
      <c r="J8" s="1646"/>
      <c r="K8" s="1646"/>
      <c r="L8" s="1646"/>
    </row>
    <row r="9" spans="1:12" ht="57.75" customHeight="1">
      <c r="A9" s="1676"/>
      <c r="B9" s="1676"/>
      <c r="C9" s="1646"/>
      <c r="D9" s="1676"/>
      <c r="E9" s="1084" t="s">
        <v>116</v>
      </c>
      <c r="F9" s="1085" t="s">
        <v>662</v>
      </c>
      <c r="G9" s="1085" t="s">
        <v>661</v>
      </c>
      <c r="H9" s="1085" t="s">
        <v>660</v>
      </c>
      <c r="I9" s="1085" t="s">
        <v>25</v>
      </c>
      <c r="J9" s="1646"/>
      <c r="K9" s="1646"/>
      <c r="L9" s="1646"/>
    </row>
    <row r="10" spans="1:12" ht="15" customHeight="1">
      <c r="A10" s="1685" t="s">
        <v>5</v>
      </c>
      <c r="B10" s="1685"/>
      <c r="C10" s="1086">
        <v>1</v>
      </c>
      <c r="D10" s="1086" t="s">
        <v>53</v>
      </c>
      <c r="E10" s="1086" t="s">
        <v>58</v>
      </c>
      <c r="F10" s="1086" t="s">
        <v>73</v>
      </c>
      <c r="G10" s="1086" t="s">
        <v>74</v>
      </c>
      <c r="H10" s="1086" t="s">
        <v>75</v>
      </c>
      <c r="I10" s="1086" t="s">
        <v>76</v>
      </c>
      <c r="J10" s="1086" t="s">
        <v>77</v>
      </c>
      <c r="K10" s="1086" t="s">
        <v>78</v>
      </c>
      <c r="L10" s="1086" t="s">
        <v>101</v>
      </c>
    </row>
    <row r="11" spans="1:12" s="552" customFormat="1" ht="15" customHeight="1">
      <c r="A11" s="1686" t="s">
        <v>37</v>
      </c>
      <c r="B11" s="1686"/>
      <c r="C11" s="975">
        <f>C12+C13</f>
        <v>68</v>
      </c>
      <c r="D11" s="975">
        <f aca="true" t="shared" si="0" ref="D11:L11">D12+D13</f>
        <v>39</v>
      </c>
      <c r="E11" s="975">
        <f t="shared" si="0"/>
        <v>29</v>
      </c>
      <c r="F11" s="975">
        <f t="shared" si="0"/>
        <v>10</v>
      </c>
      <c r="G11" s="975">
        <f t="shared" si="0"/>
        <v>17</v>
      </c>
      <c r="H11" s="975">
        <f t="shared" si="0"/>
        <v>0</v>
      </c>
      <c r="I11" s="975">
        <f t="shared" si="0"/>
        <v>2</v>
      </c>
      <c r="J11" s="975">
        <f t="shared" si="0"/>
        <v>7</v>
      </c>
      <c r="K11" s="975">
        <f t="shared" si="0"/>
        <v>59</v>
      </c>
      <c r="L11" s="975">
        <f t="shared" si="0"/>
        <v>2</v>
      </c>
    </row>
    <row r="12" spans="1:12" s="714" customFormat="1" ht="15" customHeight="1">
      <c r="A12" s="909" t="s">
        <v>0</v>
      </c>
      <c r="B12" s="909" t="s">
        <v>786</v>
      </c>
      <c r="C12" s="1087">
        <f>D12+E12</f>
        <v>3</v>
      </c>
      <c r="D12" s="1087">
        <v>3</v>
      </c>
      <c r="E12" s="1088">
        <f>SUM(F12:I12)</f>
        <v>0</v>
      </c>
      <c r="F12" s="1087"/>
      <c r="G12" s="1087"/>
      <c r="H12" s="1087"/>
      <c r="I12" s="1087"/>
      <c r="J12" s="1087"/>
      <c r="K12" s="1087">
        <v>3</v>
      </c>
      <c r="L12" s="1087"/>
    </row>
    <row r="13" spans="1:12" s="689" customFormat="1" ht="15" customHeight="1">
      <c r="A13" s="1089" t="s">
        <v>1</v>
      </c>
      <c r="B13" s="909" t="s">
        <v>19</v>
      </c>
      <c r="C13" s="1087">
        <f>SUM(C14:C28)</f>
        <v>65</v>
      </c>
      <c r="D13" s="1087">
        <f aca="true" t="shared" si="1" ref="D13:L13">SUM(D14:D28)</f>
        <v>36</v>
      </c>
      <c r="E13" s="1087">
        <f t="shared" si="1"/>
        <v>29</v>
      </c>
      <c r="F13" s="1087">
        <f t="shared" si="1"/>
        <v>10</v>
      </c>
      <c r="G13" s="1087">
        <f t="shared" si="1"/>
        <v>17</v>
      </c>
      <c r="H13" s="1087">
        <f t="shared" si="1"/>
        <v>0</v>
      </c>
      <c r="I13" s="1087">
        <f t="shared" si="1"/>
        <v>2</v>
      </c>
      <c r="J13" s="1087">
        <f t="shared" si="1"/>
        <v>7</v>
      </c>
      <c r="K13" s="1087">
        <f t="shared" si="1"/>
        <v>56</v>
      </c>
      <c r="L13" s="1087">
        <f t="shared" si="1"/>
        <v>2</v>
      </c>
    </row>
    <row r="14" spans="1:12" s="714" customFormat="1" ht="15" customHeight="1">
      <c r="A14" s="913">
        <v>1</v>
      </c>
      <c r="B14" s="913" t="s">
        <v>787</v>
      </c>
      <c r="C14" s="1087">
        <f aca="true" t="shared" si="2" ref="C14:C28">D14+E14</f>
        <v>3</v>
      </c>
      <c r="D14" s="1087">
        <v>3</v>
      </c>
      <c r="E14" s="1088">
        <f aca="true" t="shared" si="3" ref="E14:E28">SUM(F14:I14)</f>
        <v>0</v>
      </c>
      <c r="F14" s="1087"/>
      <c r="G14" s="1087"/>
      <c r="H14" s="1087"/>
      <c r="I14" s="1087"/>
      <c r="J14" s="1087"/>
      <c r="K14" s="1087">
        <v>3</v>
      </c>
      <c r="L14" s="1087"/>
    </row>
    <row r="15" spans="1:12" s="714" customFormat="1" ht="15" customHeight="1">
      <c r="A15" s="913">
        <v>2</v>
      </c>
      <c r="B15" s="913" t="s">
        <v>788</v>
      </c>
      <c r="C15" s="1087">
        <f t="shared" si="2"/>
        <v>1</v>
      </c>
      <c r="D15" s="1087">
        <v>1</v>
      </c>
      <c r="E15" s="1088">
        <f t="shared" si="3"/>
        <v>0</v>
      </c>
      <c r="F15" s="1087"/>
      <c r="G15" s="1087"/>
      <c r="H15" s="1087"/>
      <c r="I15" s="1087"/>
      <c r="J15" s="1087">
        <v>1</v>
      </c>
      <c r="K15" s="1087"/>
      <c r="L15" s="1087"/>
    </row>
    <row r="16" spans="1:12" s="714" customFormat="1" ht="15" customHeight="1">
      <c r="A16" s="913">
        <v>3</v>
      </c>
      <c r="B16" s="913" t="s">
        <v>789</v>
      </c>
      <c r="C16" s="1087">
        <f t="shared" si="2"/>
        <v>2</v>
      </c>
      <c r="D16" s="1087">
        <v>2</v>
      </c>
      <c r="E16" s="1088">
        <f t="shared" si="3"/>
        <v>0</v>
      </c>
      <c r="F16" s="1087"/>
      <c r="G16" s="1087"/>
      <c r="H16" s="1087"/>
      <c r="I16" s="1087"/>
      <c r="J16" s="1087"/>
      <c r="K16" s="1087">
        <v>2</v>
      </c>
      <c r="L16" s="1087"/>
    </row>
    <row r="17" spans="1:12" s="714" customFormat="1" ht="15" customHeight="1">
      <c r="A17" s="913">
        <v>4</v>
      </c>
      <c r="B17" s="913" t="s">
        <v>790</v>
      </c>
      <c r="C17" s="1087">
        <f t="shared" si="2"/>
        <v>0</v>
      </c>
      <c r="D17" s="1087"/>
      <c r="E17" s="1088">
        <f t="shared" si="3"/>
        <v>0</v>
      </c>
      <c r="F17" s="1087"/>
      <c r="G17" s="1087"/>
      <c r="H17" s="1087"/>
      <c r="I17" s="1087"/>
      <c r="J17" s="1087"/>
      <c r="K17" s="1087"/>
      <c r="L17" s="1087"/>
    </row>
    <row r="18" spans="1:12" s="714" customFormat="1" ht="15" customHeight="1">
      <c r="A18" s="913">
        <v>5</v>
      </c>
      <c r="B18" s="913" t="s">
        <v>791</v>
      </c>
      <c r="C18" s="1087">
        <f t="shared" si="2"/>
        <v>5</v>
      </c>
      <c r="D18" s="1087">
        <v>4</v>
      </c>
      <c r="E18" s="1088">
        <f t="shared" si="3"/>
        <v>1</v>
      </c>
      <c r="F18" s="1087"/>
      <c r="G18" s="1087"/>
      <c r="H18" s="1087"/>
      <c r="I18" s="1087">
        <v>1</v>
      </c>
      <c r="J18" s="1087"/>
      <c r="K18" s="1087">
        <v>5</v>
      </c>
      <c r="L18" s="1087"/>
    </row>
    <row r="19" spans="1:12" s="714" customFormat="1" ht="15" customHeight="1">
      <c r="A19" s="913">
        <v>6</v>
      </c>
      <c r="B19" s="913" t="s">
        <v>792</v>
      </c>
      <c r="C19" s="1087">
        <f t="shared" si="2"/>
        <v>11</v>
      </c>
      <c r="D19" s="1087">
        <v>9</v>
      </c>
      <c r="E19" s="1088">
        <f t="shared" si="3"/>
        <v>2</v>
      </c>
      <c r="F19" s="1087">
        <v>2</v>
      </c>
      <c r="G19" s="1087"/>
      <c r="H19" s="1087"/>
      <c r="I19" s="1087"/>
      <c r="J19" s="1087"/>
      <c r="K19" s="1087">
        <v>11</v>
      </c>
      <c r="L19" s="1087"/>
    </row>
    <row r="20" spans="1:12" s="714" customFormat="1" ht="15" customHeight="1">
      <c r="A20" s="913">
        <v>7</v>
      </c>
      <c r="B20" s="913" t="s">
        <v>793</v>
      </c>
      <c r="C20" s="1087">
        <f t="shared" si="2"/>
        <v>6</v>
      </c>
      <c r="D20" s="1087">
        <v>6</v>
      </c>
      <c r="E20" s="1088">
        <f t="shared" si="3"/>
        <v>0</v>
      </c>
      <c r="F20" s="1087"/>
      <c r="G20" s="1087"/>
      <c r="H20" s="1087"/>
      <c r="I20" s="1087"/>
      <c r="J20" s="1087"/>
      <c r="K20" s="1087">
        <v>6</v>
      </c>
      <c r="L20" s="1087"/>
    </row>
    <row r="21" spans="1:12" s="714" customFormat="1" ht="15" customHeight="1">
      <c r="A21" s="913">
        <v>8</v>
      </c>
      <c r="B21" s="913" t="s">
        <v>794</v>
      </c>
      <c r="C21" s="1087">
        <f t="shared" si="2"/>
        <v>0</v>
      </c>
      <c r="D21" s="1087">
        <v>0</v>
      </c>
      <c r="E21" s="1088">
        <f t="shared" si="3"/>
        <v>0</v>
      </c>
      <c r="F21" s="1087"/>
      <c r="G21" s="1087"/>
      <c r="H21" s="1087"/>
      <c r="I21" s="1087"/>
      <c r="J21" s="1087"/>
      <c r="K21" s="1087"/>
      <c r="L21" s="1087"/>
    </row>
    <row r="22" spans="1:12" s="714" customFormat="1" ht="15" customHeight="1">
      <c r="A22" s="913">
        <v>9</v>
      </c>
      <c r="B22" s="913" t="s">
        <v>795</v>
      </c>
      <c r="C22" s="1087">
        <f t="shared" si="2"/>
        <v>4</v>
      </c>
      <c r="D22" s="1087">
        <v>2</v>
      </c>
      <c r="E22" s="1088">
        <f t="shared" si="3"/>
        <v>2</v>
      </c>
      <c r="F22" s="1087">
        <v>0</v>
      </c>
      <c r="G22" s="1087">
        <v>2</v>
      </c>
      <c r="H22" s="1087"/>
      <c r="I22" s="1087"/>
      <c r="J22" s="1087">
        <v>2</v>
      </c>
      <c r="K22" s="1087">
        <v>2</v>
      </c>
      <c r="L22" s="1087"/>
    </row>
    <row r="23" spans="1:12" s="714" customFormat="1" ht="15" customHeight="1">
      <c r="A23" s="913">
        <v>10</v>
      </c>
      <c r="B23" s="913" t="s">
        <v>796</v>
      </c>
      <c r="C23" s="1087">
        <f t="shared" si="2"/>
        <v>2</v>
      </c>
      <c r="D23" s="1087">
        <v>1</v>
      </c>
      <c r="E23" s="1088">
        <f t="shared" si="3"/>
        <v>1</v>
      </c>
      <c r="F23" s="1087">
        <v>1</v>
      </c>
      <c r="G23" s="1087"/>
      <c r="H23" s="1087"/>
      <c r="I23" s="1087"/>
      <c r="J23" s="1087">
        <v>1</v>
      </c>
      <c r="K23" s="1087">
        <v>1</v>
      </c>
      <c r="L23" s="1087"/>
    </row>
    <row r="24" spans="1:12" s="714" customFormat="1" ht="15" customHeight="1">
      <c r="A24" s="913">
        <v>11</v>
      </c>
      <c r="B24" s="913" t="s">
        <v>797</v>
      </c>
      <c r="C24" s="1087">
        <f t="shared" si="2"/>
        <v>1</v>
      </c>
      <c r="D24" s="1087">
        <v>1</v>
      </c>
      <c r="E24" s="1088">
        <f t="shared" si="3"/>
        <v>0</v>
      </c>
      <c r="F24" s="1087"/>
      <c r="G24" s="1087"/>
      <c r="H24" s="1087"/>
      <c r="I24" s="1087"/>
      <c r="J24" s="1087"/>
      <c r="K24" s="1087">
        <v>1</v>
      </c>
      <c r="L24" s="1087"/>
    </row>
    <row r="25" spans="1:12" s="714" customFormat="1" ht="15" customHeight="1">
      <c r="A25" s="913">
        <v>12</v>
      </c>
      <c r="B25" s="913" t="s">
        <v>798</v>
      </c>
      <c r="C25" s="1087">
        <f t="shared" si="2"/>
        <v>3</v>
      </c>
      <c r="D25" s="1087">
        <v>1</v>
      </c>
      <c r="E25" s="1088">
        <f t="shared" si="3"/>
        <v>2</v>
      </c>
      <c r="F25" s="1087">
        <v>2</v>
      </c>
      <c r="G25" s="1087"/>
      <c r="H25" s="1087"/>
      <c r="I25" s="1087"/>
      <c r="J25" s="1087"/>
      <c r="K25" s="1087">
        <v>3</v>
      </c>
      <c r="L25" s="1087"/>
    </row>
    <row r="26" spans="1:12" s="714" customFormat="1" ht="15" customHeight="1">
      <c r="A26" s="913">
        <v>13</v>
      </c>
      <c r="B26" s="913" t="s">
        <v>799</v>
      </c>
      <c r="C26" s="1087">
        <f t="shared" si="2"/>
        <v>26</v>
      </c>
      <c r="D26" s="1087">
        <v>5</v>
      </c>
      <c r="E26" s="1088">
        <f t="shared" si="3"/>
        <v>21</v>
      </c>
      <c r="F26" s="1087">
        <v>5</v>
      </c>
      <c r="G26" s="1090">
        <v>15</v>
      </c>
      <c r="H26" s="1091"/>
      <c r="I26" s="1091">
        <v>1</v>
      </c>
      <c r="J26" s="1090">
        <v>3</v>
      </c>
      <c r="K26" s="1090">
        <v>21</v>
      </c>
      <c r="L26" s="1087">
        <v>2</v>
      </c>
    </row>
    <row r="27" spans="1:12" s="714" customFormat="1" ht="15" customHeight="1">
      <c r="A27" s="913">
        <v>14</v>
      </c>
      <c r="B27" s="913" t="s">
        <v>800</v>
      </c>
      <c r="C27" s="1087">
        <f t="shared" si="2"/>
        <v>0</v>
      </c>
      <c r="D27" s="1087">
        <v>0</v>
      </c>
      <c r="E27" s="1088">
        <f t="shared" si="3"/>
        <v>0</v>
      </c>
      <c r="F27" s="1087"/>
      <c r="G27" s="1087"/>
      <c r="H27" s="1087"/>
      <c r="I27" s="1087"/>
      <c r="J27" s="1087"/>
      <c r="K27" s="1087"/>
      <c r="L27" s="1087"/>
    </row>
    <row r="28" spans="1:12" s="714" customFormat="1" ht="15" customHeight="1">
      <c r="A28" s="913">
        <v>15</v>
      </c>
      <c r="B28" s="913" t="s">
        <v>801</v>
      </c>
      <c r="C28" s="1087">
        <f t="shared" si="2"/>
        <v>1</v>
      </c>
      <c r="D28" s="1087">
        <v>1</v>
      </c>
      <c r="E28" s="1088">
        <f t="shared" si="3"/>
        <v>0</v>
      </c>
      <c r="F28" s="1087"/>
      <c r="G28" s="1087"/>
      <c r="H28" s="1087"/>
      <c r="I28" s="1087"/>
      <c r="J28" s="1087"/>
      <c r="K28" s="1087">
        <v>1</v>
      </c>
      <c r="L28" s="1087"/>
    </row>
    <row r="29" spans="1:12" ht="6" customHeight="1">
      <c r="A29" s="557"/>
      <c r="B29" s="558"/>
      <c r="C29" s="559"/>
      <c r="D29" s="559"/>
      <c r="E29" s="559"/>
      <c r="F29" s="559"/>
      <c r="G29" s="559"/>
      <c r="H29" s="559"/>
      <c r="I29" s="559"/>
      <c r="J29" s="559"/>
      <c r="K29" s="559"/>
      <c r="L29" s="559"/>
    </row>
    <row r="30" spans="2:12" ht="16.5" customHeight="1">
      <c r="B30" s="560"/>
      <c r="C30" s="560"/>
      <c r="D30" s="560"/>
      <c r="E30" s="560"/>
      <c r="F30" s="560"/>
      <c r="G30" s="560"/>
      <c r="H30" s="1687" t="str">
        <f>'Thong tin'!B8</f>
        <v>Hải Phòng, ngày 03 tháng 8 năm 2017</v>
      </c>
      <c r="I30" s="1687"/>
      <c r="J30" s="1687"/>
      <c r="K30" s="1687"/>
      <c r="L30" s="1687"/>
    </row>
    <row r="31" spans="1:12" ht="18.75">
      <c r="A31" s="560"/>
      <c r="B31" s="1689" t="s">
        <v>4</v>
      </c>
      <c r="C31" s="1689"/>
      <c r="D31" s="1689"/>
      <c r="E31" s="560"/>
      <c r="F31" s="560"/>
      <c r="G31" s="560"/>
      <c r="H31" s="1688" t="str">
        <f>'Thong tin'!B7</f>
        <v>
PHÓ CỤC TRƯỞNG</v>
      </c>
      <c r="I31" s="1688"/>
      <c r="J31" s="1688"/>
      <c r="K31" s="1688"/>
      <c r="L31" s="1688"/>
    </row>
    <row r="32" spans="1:12" ht="16.5" customHeight="1">
      <c r="A32" s="561"/>
      <c r="B32" s="561"/>
      <c r="C32" s="561"/>
      <c r="D32" s="561"/>
      <c r="E32" s="561"/>
      <c r="F32" s="561"/>
      <c r="G32" s="561"/>
      <c r="H32" s="606"/>
      <c r="I32" s="606"/>
      <c r="J32" s="606"/>
      <c r="K32" s="606"/>
      <c r="L32" s="606"/>
    </row>
    <row r="33" spans="1:12" ht="18.75">
      <c r="A33" s="554"/>
      <c r="B33" s="561"/>
      <c r="C33" s="561"/>
      <c r="D33" s="561"/>
      <c r="E33" s="561"/>
      <c r="F33" s="561"/>
      <c r="G33" s="561"/>
      <c r="H33" s="561"/>
      <c r="I33" s="614"/>
      <c r="J33" s="614"/>
      <c r="K33" s="614"/>
      <c r="L33" s="554"/>
    </row>
    <row r="34" spans="1:12" ht="9" customHeight="1">
      <c r="A34" s="554"/>
      <c r="B34" s="561"/>
      <c r="C34" s="561"/>
      <c r="D34" s="561"/>
      <c r="E34" s="561"/>
      <c r="F34" s="561"/>
      <c r="G34" s="561"/>
      <c r="H34" s="561"/>
      <c r="I34" s="561"/>
      <c r="J34" s="561"/>
      <c r="K34" s="554"/>
      <c r="L34" s="554"/>
    </row>
    <row r="35" spans="1:12" ht="18.75">
      <c r="A35" s="554"/>
      <c r="B35" s="561"/>
      <c r="C35" s="561"/>
      <c r="D35" s="561"/>
      <c r="E35" s="561"/>
      <c r="F35" s="561"/>
      <c r="G35" s="561"/>
      <c r="H35" s="561"/>
      <c r="I35" s="561"/>
      <c r="J35" s="561"/>
      <c r="K35" s="554"/>
      <c r="L35" s="554"/>
    </row>
    <row r="36" spans="1:12" ht="9" customHeight="1">
      <c r="A36" s="554"/>
      <c r="B36" s="561"/>
      <c r="C36" s="561"/>
      <c r="D36" s="561"/>
      <c r="E36" s="561"/>
      <c r="F36" s="561"/>
      <c r="G36" s="561"/>
      <c r="H36" s="561"/>
      <c r="I36" s="561"/>
      <c r="J36" s="561"/>
      <c r="K36" s="554"/>
      <c r="L36" s="554"/>
    </row>
    <row r="37" spans="1:12" ht="18.75">
      <c r="A37" s="554"/>
      <c r="B37" s="561"/>
      <c r="C37" s="561"/>
      <c r="D37" s="561"/>
      <c r="E37" s="561"/>
      <c r="F37" s="561"/>
      <c r="G37" s="561"/>
      <c r="H37" s="561"/>
      <c r="I37" s="561"/>
      <c r="J37" s="561"/>
      <c r="K37" s="554"/>
      <c r="L37" s="554"/>
    </row>
    <row r="38" spans="2:12" ht="18.75">
      <c r="B38" s="1684" t="str">
        <f>'Thong tin'!B5</f>
        <v>Trần Thị Minh</v>
      </c>
      <c r="C38" s="1684"/>
      <c r="D38" s="1684"/>
      <c r="E38" s="554"/>
      <c r="F38" s="554"/>
      <c r="G38" s="554"/>
      <c r="H38" s="1683" t="str">
        <f>'Thong tin'!B6</f>
        <v>Nguyễn Thị Mai Hoa</v>
      </c>
      <c r="I38" s="1683"/>
      <c r="J38" s="1683"/>
      <c r="K38" s="1683"/>
      <c r="L38" s="1683"/>
    </row>
    <row r="39" spans="1:12" ht="22.5" customHeight="1" hidden="1">
      <c r="A39" s="554"/>
      <c r="B39" s="561"/>
      <c r="C39" s="561"/>
      <c r="D39" s="561"/>
      <c r="E39" s="561"/>
      <c r="F39" s="561"/>
      <c r="G39" s="561"/>
      <c r="H39" s="561"/>
      <c r="I39" s="561"/>
      <c r="J39" s="561"/>
      <c r="K39" s="554"/>
      <c r="L39" s="554"/>
    </row>
    <row r="40" spans="1:12" ht="19.5" hidden="1">
      <c r="A40" s="562" t="s">
        <v>47</v>
      </c>
      <c r="B40" s="561"/>
      <c r="C40" s="561"/>
      <c r="D40" s="561"/>
      <c r="E40" s="561"/>
      <c r="F40" s="561"/>
      <c r="G40" s="561"/>
      <c r="H40" s="561"/>
      <c r="I40" s="561"/>
      <c r="J40" s="561"/>
      <c r="K40" s="554"/>
      <c r="L40" s="554"/>
    </row>
    <row r="41" spans="2:12" ht="15.75" customHeight="1" hidden="1">
      <c r="B41" s="1690" t="s">
        <v>59</v>
      </c>
      <c r="C41" s="1690"/>
      <c r="D41" s="1690"/>
      <c r="E41" s="1690"/>
      <c r="F41" s="1690"/>
      <c r="G41" s="1690"/>
      <c r="H41" s="1690"/>
      <c r="I41" s="1690"/>
      <c r="J41" s="1690"/>
      <c r="K41" s="1690"/>
      <c r="L41" s="1690"/>
    </row>
    <row r="42" spans="1:12" ht="16.5" customHeight="1" hidden="1">
      <c r="A42" s="563"/>
      <c r="B42" s="1682" t="s">
        <v>61</v>
      </c>
      <c r="C42" s="1682"/>
      <c r="D42" s="1682"/>
      <c r="E42" s="1682"/>
      <c r="F42" s="1682"/>
      <c r="G42" s="1682"/>
      <c r="H42" s="1682"/>
      <c r="I42" s="1682"/>
      <c r="J42" s="1682"/>
      <c r="K42" s="1682"/>
      <c r="L42" s="1682"/>
    </row>
    <row r="43" ht="15.75" hidden="1">
      <c r="B43" s="551" t="s">
        <v>60</v>
      </c>
    </row>
  </sheetData>
  <sheetProtection/>
  <mergeCells count="30">
    <mergeCell ref="E8:I8"/>
    <mergeCell ref="B42:L42"/>
    <mergeCell ref="H38:L38"/>
    <mergeCell ref="B38:D38"/>
    <mergeCell ref="A10:B10"/>
    <mergeCell ref="A11:B11"/>
    <mergeCell ref="H30:L30"/>
    <mergeCell ref="H31:L31"/>
    <mergeCell ref="B31:D31"/>
    <mergeCell ref="B41:L41"/>
    <mergeCell ref="D6:I6"/>
    <mergeCell ref="D7:I7"/>
    <mergeCell ref="D8:D9"/>
    <mergeCell ref="A2:C2"/>
    <mergeCell ref="J2:L2"/>
    <mergeCell ref="J3:L3"/>
    <mergeCell ref="D1:I2"/>
    <mergeCell ref="D3:I3"/>
    <mergeCell ref="A1:B1"/>
    <mergeCell ref="J1:L1"/>
    <mergeCell ref="A4:C4"/>
    <mergeCell ref="D4:I4"/>
    <mergeCell ref="J4:L4"/>
    <mergeCell ref="J5:L5"/>
    <mergeCell ref="J6:L6"/>
    <mergeCell ref="J7:J9"/>
    <mergeCell ref="K7:K9"/>
    <mergeCell ref="L7:L9"/>
    <mergeCell ref="A6:B9"/>
    <mergeCell ref="C6:C9"/>
  </mergeCells>
  <printOptions/>
  <pageMargins left="0.3937007874015748" right="0.1968503937007874" top="0.2755905511811024" bottom="0.31496062992125984" header="0.1968503937007874" footer="0.15748031496062992"/>
  <pageSetup horizontalDpi="600" verticalDpi="600" orientation="landscape" paperSize="9" scale="90" r:id="rId1"/>
  <ignoredErrors>
    <ignoredError sqref="C13" formula="1"/>
    <ignoredError sqref="D10:L11 D13 E12 G12:J12 L12 D17 D27:D28 D24" numberStoredAsText="1"/>
    <ignoredError sqref="E13:L13 F17:L17 E14:J14 L14:L16 F18:H18 J18 L18 F16:J16 F15:I15 E15 E16 E18 E17 E19 E20:E28" numberStoredAsText="1" formula="1"/>
    <ignoredError sqref="E15 E16 E18 E17 E19 E20:E28" numberStoredAsText="1" formula="1" formulaRange="1"/>
  </ignoredErrors>
</worksheet>
</file>

<file path=xl/worksheets/sheet27.xml><?xml version="1.0" encoding="utf-8"?>
<worksheet xmlns="http://schemas.openxmlformats.org/spreadsheetml/2006/main" xmlns:r="http://schemas.openxmlformats.org/officeDocument/2006/relationships">
  <sheetPr>
    <tabColor indexed="10"/>
  </sheetPr>
  <dimension ref="A1:AC56"/>
  <sheetViews>
    <sheetView view="pageBreakPreview" zoomScaleSheetLayoutView="100" zoomScalePageLayoutView="0" workbookViewId="0" topLeftCell="A4">
      <selection activeCell="A21" sqref="A1:IV16384"/>
    </sheetView>
  </sheetViews>
  <sheetFormatPr defaultColWidth="9.00390625" defaultRowHeight="15.75"/>
  <cols>
    <col min="1" max="1" width="3.50390625" style="959" customWidth="1"/>
    <col min="2" max="2" width="23.25390625" style="959" customWidth="1"/>
    <col min="3" max="8" width="5.75390625" style="959" customWidth="1"/>
    <col min="9" max="9" width="6.625" style="959" customWidth="1"/>
    <col min="10" max="10" width="7.00390625" style="959" customWidth="1"/>
    <col min="11" max="15" width="6.625" style="959" customWidth="1"/>
    <col min="16" max="21" width="5.75390625" style="959" customWidth="1"/>
    <col min="22" max="16384" width="9.00390625" style="959" customWidth="1"/>
  </cols>
  <sheetData>
    <row r="1" spans="1:22" ht="21" customHeight="1">
      <c r="A1" s="1017" t="s">
        <v>674</v>
      </c>
      <c r="B1" s="1018"/>
      <c r="C1" s="1018"/>
      <c r="D1" s="1019"/>
      <c r="E1" s="987"/>
      <c r="F1" s="1696" t="s">
        <v>585</v>
      </c>
      <c r="G1" s="1696"/>
      <c r="H1" s="1696"/>
      <c r="I1" s="1696"/>
      <c r="J1" s="1696"/>
      <c r="K1" s="1696"/>
      <c r="L1" s="1696"/>
      <c r="M1" s="1696"/>
      <c r="N1" s="1696"/>
      <c r="O1" s="986"/>
      <c r="P1" s="1051" t="s">
        <v>400</v>
      </c>
      <c r="Q1" s="1052"/>
      <c r="R1" s="1052"/>
      <c r="S1" s="1052"/>
      <c r="T1" s="1052"/>
      <c r="V1" s="957"/>
    </row>
    <row r="2" spans="1:22" ht="15.75" customHeight="1">
      <c r="A2" s="1618" t="s">
        <v>344</v>
      </c>
      <c r="B2" s="1618"/>
      <c r="C2" s="1618"/>
      <c r="D2" s="1618"/>
      <c r="E2" s="1053"/>
      <c r="F2" s="1696"/>
      <c r="G2" s="1696"/>
      <c r="H2" s="1696"/>
      <c r="I2" s="1696"/>
      <c r="J2" s="1696"/>
      <c r="K2" s="1696"/>
      <c r="L2" s="1696"/>
      <c r="M2" s="1696"/>
      <c r="N2" s="1696"/>
      <c r="O2" s="986"/>
      <c r="P2" s="1054" t="str">
        <f>'Thong tin'!B4</f>
        <v>CTHADS Hải Phòng</v>
      </c>
      <c r="Q2" s="1055"/>
      <c r="R2" s="1052"/>
      <c r="S2" s="1052"/>
      <c r="T2" s="1052"/>
      <c r="V2" s="957"/>
    </row>
    <row r="3" spans="1:20" ht="16.5" customHeight="1">
      <c r="A3" s="1620" t="s">
        <v>345</v>
      </c>
      <c r="B3" s="1620"/>
      <c r="C3" s="1620"/>
      <c r="D3" s="1620"/>
      <c r="E3" s="1053"/>
      <c r="F3" s="1697" t="str">
        <f>'Thong tin'!B3</f>
        <v>10 tháng / năm 2017</v>
      </c>
      <c r="G3" s="1698"/>
      <c r="H3" s="1698"/>
      <c r="I3" s="1698"/>
      <c r="J3" s="1698"/>
      <c r="K3" s="1698"/>
      <c r="L3" s="1698"/>
      <c r="M3" s="1698"/>
      <c r="N3" s="1698"/>
      <c r="O3" s="1056"/>
      <c r="P3" s="1057" t="s">
        <v>666</v>
      </c>
      <c r="Q3" s="1052"/>
      <c r="R3" s="1052"/>
      <c r="S3" s="1052"/>
      <c r="T3" s="1052"/>
    </row>
    <row r="4" spans="1:20" ht="15" customHeight="1">
      <c r="A4" s="1026" t="s">
        <v>217</v>
      </c>
      <c r="B4" s="1027"/>
      <c r="C4" s="1027"/>
      <c r="D4" s="1027"/>
      <c r="E4" s="1058"/>
      <c r="F4" s="1058"/>
      <c r="G4" s="1058"/>
      <c r="H4" s="1058"/>
      <c r="I4" s="1058"/>
      <c r="J4" s="1058"/>
      <c r="K4" s="1058"/>
      <c r="L4" s="1058"/>
      <c r="M4" s="1058"/>
      <c r="N4" s="1058"/>
      <c r="O4" s="1058"/>
      <c r="P4" s="1059" t="s">
        <v>586</v>
      </c>
      <c r="Q4" s="987"/>
      <c r="R4" s="987"/>
      <c r="S4" s="987"/>
      <c r="T4" s="987"/>
    </row>
    <row r="5" spans="1:21" ht="20.25" customHeight="1">
      <c r="A5" s="1692" t="s">
        <v>72</v>
      </c>
      <c r="B5" s="1693"/>
      <c r="C5" s="1691" t="s">
        <v>587</v>
      </c>
      <c r="D5" s="1691"/>
      <c r="E5" s="1691"/>
      <c r="F5" s="1691" t="s">
        <v>588</v>
      </c>
      <c r="G5" s="1691"/>
      <c r="H5" s="1691"/>
      <c r="I5" s="1691"/>
      <c r="J5" s="1691"/>
      <c r="K5" s="1691"/>
      <c r="L5" s="1691"/>
      <c r="M5" s="1691"/>
      <c r="N5" s="1691"/>
      <c r="O5" s="1691"/>
      <c r="P5" s="1691" t="s">
        <v>589</v>
      </c>
      <c r="Q5" s="1691"/>
      <c r="R5" s="1691"/>
      <c r="S5" s="1691"/>
      <c r="T5" s="1691"/>
      <c r="U5" s="1691"/>
    </row>
    <row r="6" spans="1:21" ht="15" customHeight="1">
      <c r="A6" s="1694"/>
      <c r="B6" s="1695"/>
      <c r="C6" s="1691"/>
      <c r="D6" s="1691"/>
      <c r="E6" s="1691"/>
      <c r="F6" s="1691" t="s">
        <v>590</v>
      </c>
      <c r="G6" s="1691"/>
      <c r="H6" s="1691"/>
      <c r="I6" s="1691" t="s">
        <v>591</v>
      </c>
      <c r="J6" s="1691"/>
      <c r="K6" s="1691"/>
      <c r="L6" s="1691"/>
      <c r="M6" s="1691"/>
      <c r="N6" s="1691"/>
      <c r="O6" s="1691"/>
      <c r="P6" s="1691" t="s">
        <v>37</v>
      </c>
      <c r="Q6" s="1691" t="s">
        <v>7</v>
      </c>
      <c r="R6" s="1691"/>
      <c r="S6" s="1691"/>
      <c r="T6" s="1691"/>
      <c r="U6" s="1691"/>
    </row>
    <row r="7" spans="1:22" ht="29.25" customHeight="1">
      <c r="A7" s="1694"/>
      <c r="B7" s="1695"/>
      <c r="C7" s="1691"/>
      <c r="D7" s="1691"/>
      <c r="E7" s="1691"/>
      <c r="F7" s="1691"/>
      <c r="G7" s="1691"/>
      <c r="H7" s="1691"/>
      <c r="I7" s="1691" t="s">
        <v>592</v>
      </c>
      <c r="J7" s="1691"/>
      <c r="K7" s="1691"/>
      <c r="L7" s="1691" t="s">
        <v>593</v>
      </c>
      <c r="M7" s="1691"/>
      <c r="N7" s="1691"/>
      <c r="O7" s="1691"/>
      <c r="P7" s="1691"/>
      <c r="Q7" s="1691" t="s">
        <v>665</v>
      </c>
      <c r="R7" s="1691" t="s">
        <v>595</v>
      </c>
      <c r="S7" s="1691" t="s">
        <v>596</v>
      </c>
      <c r="T7" s="1691" t="s">
        <v>597</v>
      </c>
      <c r="U7" s="1691" t="s">
        <v>598</v>
      </c>
      <c r="V7" s="959" t="s">
        <v>599</v>
      </c>
    </row>
    <row r="8" spans="1:21" ht="15.75" customHeight="1">
      <c r="A8" s="1694"/>
      <c r="B8" s="1695"/>
      <c r="C8" s="1691" t="s">
        <v>37</v>
      </c>
      <c r="D8" s="1691" t="s">
        <v>7</v>
      </c>
      <c r="E8" s="1691"/>
      <c r="F8" s="1691" t="s">
        <v>37</v>
      </c>
      <c r="G8" s="1691" t="s">
        <v>7</v>
      </c>
      <c r="H8" s="1691"/>
      <c r="I8" s="1691" t="s">
        <v>37</v>
      </c>
      <c r="J8" s="1691" t="s">
        <v>7</v>
      </c>
      <c r="K8" s="1691"/>
      <c r="L8" s="1691" t="s">
        <v>37</v>
      </c>
      <c r="M8" s="1691" t="s">
        <v>7</v>
      </c>
      <c r="N8" s="1691"/>
      <c r="O8" s="1691"/>
      <c r="P8" s="1691"/>
      <c r="Q8" s="1705"/>
      <c r="R8" s="1691"/>
      <c r="S8" s="1691"/>
      <c r="T8" s="1691"/>
      <c r="U8" s="1691"/>
    </row>
    <row r="9" spans="1:23" ht="100.5" customHeight="1">
      <c r="A9" s="1694"/>
      <c r="B9" s="1695"/>
      <c r="C9" s="1691"/>
      <c r="D9" s="1060" t="s">
        <v>600</v>
      </c>
      <c r="E9" s="1060" t="s">
        <v>607</v>
      </c>
      <c r="F9" s="1691"/>
      <c r="G9" s="1060" t="s">
        <v>600</v>
      </c>
      <c r="H9" s="1060" t="s">
        <v>601</v>
      </c>
      <c r="I9" s="1691"/>
      <c r="J9" s="1060" t="s">
        <v>602</v>
      </c>
      <c r="K9" s="1060" t="s">
        <v>603</v>
      </c>
      <c r="L9" s="1691"/>
      <c r="M9" s="1060" t="s">
        <v>604</v>
      </c>
      <c r="N9" s="1060" t="s">
        <v>605</v>
      </c>
      <c r="O9" s="1060" t="s">
        <v>606</v>
      </c>
      <c r="P9" s="1691"/>
      <c r="Q9" s="1705"/>
      <c r="R9" s="1691"/>
      <c r="S9" s="1691"/>
      <c r="T9" s="1691"/>
      <c r="U9" s="1691"/>
      <c r="V9" s="1061"/>
      <c r="W9" s="1061"/>
    </row>
    <row r="10" spans="1:29" ht="12.75">
      <c r="A10" s="1062"/>
      <c r="B10" s="1063" t="s">
        <v>608</v>
      </c>
      <c r="C10" s="1064">
        <v>1</v>
      </c>
      <c r="D10" s="1065">
        <v>2</v>
      </c>
      <c r="E10" s="1064">
        <v>3</v>
      </c>
      <c r="F10" s="1065">
        <v>4</v>
      </c>
      <c r="G10" s="1064">
        <v>5</v>
      </c>
      <c r="H10" s="1065">
        <v>6</v>
      </c>
      <c r="I10" s="1064">
        <v>7</v>
      </c>
      <c r="J10" s="1065">
        <v>8</v>
      </c>
      <c r="K10" s="1064">
        <v>9</v>
      </c>
      <c r="L10" s="1065">
        <v>10</v>
      </c>
      <c r="M10" s="1064">
        <v>11</v>
      </c>
      <c r="N10" s="1065">
        <v>12</v>
      </c>
      <c r="O10" s="1064">
        <v>13</v>
      </c>
      <c r="P10" s="1065">
        <v>14</v>
      </c>
      <c r="Q10" s="1064">
        <v>15</v>
      </c>
      <c r="R10" s="1065">
        <v>16</v>
      </c>
      <c r="S10" s="1064">
        <v>17</v>
      </c>
      <c r="T10" s="1065">
        <v>18</v>
      </c>
      <c r="U10" s="1064">
        <v>19</v>
      </c>
      <c r="V10" s="1066"/>
      <c r="W10" s="1061"/>
      <c r="X10" s="1061"/>
      <c r="Y10" s="1061"/>
      <c r="Z10" s="1061"/>
      <c r="AA10" s="1061"/>
      <c r="AB10" s="1061"/>
      <c r="AC10" s="1061"/>
    </row>
    <row r="11" spans="1:29" ht="12.75">
      <c r="A11" s="1703" t="s">
        <v>37</v>
      </c>
      <c r="B11" s="1704"/>
      <c r="C11" s="1067">
        <f>C12+C13</f>
        <v>8</v>
      </c>
      <c r="D11" s="1067">
        <f aca="true" t="shared" si="0" ref="D11:U11">D12+D13</f>
        <v>0</v>
      </c>
      <c r="E11" s="1067">
        <f t="shared" si="0"/>
        <v>8</v>
      </c>
      <c r="F11" s="1067">
        <f t="shared" si="0"/>
        <v>8</v>
      </c>
      <c r="G11" s="1067">
        <f t="shared" si="0"/>
        <v>0</v>
      </c>
      <c r="H11" s="1067">
        <f t="shared" si="0"/>
        <v>8</v>
      </c>
      <c r="I11" s="1067">
        <f t="shared" si="0"/>
        <v>8</v>
      </c>
      <c r="J11" s="1067">
        <f t="shared" si="0"/>
        <v>5</v>
      </c>
      <c r="K11" s="1067">
        <f t="shared" si="0"/>
        <v>3</v>
      </c>
      <c r="L11" s="1067">
        <f t="shared" si="0"/>
        <v>0</v>
      </c>
      <c r="M11" s="1067">
        <f t="shared" si="0"/>
        <v>0</v>
      </c>
      <c r="N11" s="1067">
        <f t="shared" si="0"/>
        <v>0</v>
      </c>
      <c r="O11" s="1067">
        <f t="shared" si="0"/>
        <v>0</v>
      </c>
      <c r="P11" s="1067">
        <f t="shared" si="0"/>
        <v>8</v>
      </c>
      <c r="Q11" s="1067">
        <f t="shared" si="0"/>
        <v>1</v>
      </c>
      <c r="R11" s="1067">
        <f t="shared" si="0"/>
        <v>0</v>
      </c>
      <c r="S11" s="1067">
        <f t="shared" si="0"/>
        <v>0</v>
      </c>
      <c r="T11" s="1067">
        <f t="shared" si="0"/>
        <v>6</v>
      </c>
      <c r="U11" s="1067">
        <f t="shared" si="0"/>
        <v>1</v>
      </c>
      <c r="V11" s="1066"/>
      <c r="W11" s="1061"/>
      <c r="X11" s="1061"/>
      <c r="Y11" s="1061"/>
      <c r="Z11" s="1061"/>
      <c r="AA11" s="1061"/>
      <c r="AB11" s="1061"/>
      <c r="AC11" s="1061"/>
    </row>
    <row r="12" spans="1:29" ht="12.75">
      <c r="A12" s="933" t="s">
        <v>0</v>
      </c>
      <c r="B12" s="934" t="s">
        <v>786</v>
      </c>
      <c r="C12" s="1068">
        <f>D12+E12</f>
        <v>3</v>
      </c>
      <c r="D12" s="1068"/>
      <c r="E12" s="1068">
        <v>3</v>
      </c>
      <c r="F12" s="1068">
        <f>G12+H12</f>
        <v>3</v>
      </c>
      <c r="G12" s="1069"/>
      <c r="H12" s="1069">
        <v>3</v>
      </c>
      <c r="I12" s="1069">
        <f>J12+K12</f>
        <v>3</v>
      </c>
      <c r="J12" s="1068">
        <v>2</v>
      </c>
      <c r="K12" s="1068">
        <v>1</v>
      </c>
      <c r="L12" s="1068">
        <f>M12+N12+O12</f>
        <v>0</v>
      </c>
      <c r="M12" s="1068"/>
      <c r="N12" s="1068"/>
      <c r="O12" s="1068"/>
      <c r="P12" s="1068">
        <f>SUM(Q12:U12)</f>
        <v>3</v>
      </c>
      <c r="Q12" s="1068"/>
      <c r="R12" s="1068"/>
      <c r="S12" s="1068"/>
      <c r="T12" s="1068">
        <v>3</v>
      </c>
      <c r="U12" s="1068"/>
      <c r="V12" s="1066"/>
      <c r="W12" s="1061"/>
      <c r="X12" s="1061"/>
      <c r="Y12" s="1061"/>
      <c r="Z12" s="1061"/>
      <c r="AA12" s="1061"/>
      <c r="AB12" s="1061"/>
      <c r="AC12" s="1061"/>
    </row>
    <row r="13" spans="1:29" ht="12.75">
      <c r="A13" s="935" t="s">
        <v>1</v>
      </c>
      <c r="B13" s="934" t="s">
        <v>19</v>
      </c>
      <c r="C13" s="1068">
        <f>SUM(C14:C28)</f>
        <v>5</v>
      </c>
      <c r="D13" s="1068">
        <f aca="true" t="shared" si="1" ref="D13:U13">SUM(D14:D28)</f>
        <v>0</v>
      </c>
      <c r="E13" s="1068">
        <f t="shared" si="1"/>
        <v>5</v>
      </c>
      <c r="F13" s="1068">
        <f t="shared" si="1"/>
        <v>5</v>
      </c>
      <c r="G13" s="1068">
        <f t="shared" si="1"/>
        <v>0</v>
      </c>
      <c r="H13" s="1068">
        <f t="shared" si="1"/>
        <v>5</v>
      </c>
      <c r="I13" s="1068">
        <f t="shared" si="1"/>
        <v>5</v>
      </c>
      <c r="J13" s="1068">
        <f t="shared" si="1"/>
        <v>3</v>
      </c>
      <c r="K13" s="1068">
        <f t="shared" si="1"/>
        <v>2</v>
      </c>
      <c r="L13" s="1068">
        <f t="shared" si="1"/>
        <v>0</v>
      </c>
      <c r="M13" s="1068">
        <f t="shared" si="1"/>
        <v>0</v>
      </c>
      <c r="N13" s="1068">
        <f t="shared" si="1"/>
        <v>0</v>
      </c>
      <c r="O13" s="1068">
        <f t="shared" si="1"/>
        <v>0</v>
      </c>
      <c r="P13" s="1068">
        <f t="shared" si="1"/>
        <v>5</v>
      </c>
      <c r="Q13" s="1068">
        <f t="shared" si="1"/>
        <v>1</v>
      </c>
      <c r="R13" s="1068">
        <f t="shared" si="1"/>
        <v>0</v>
      </c>
      <c r="S13" s="1068">
        <f t="shared" si="1"/>
        <v>0</v>
      </c>
      <c r="T13" s="1068">
        <f t="shared" si="1"/>
        <v>3</v>
      </c>
      <c r="U13" s="1068">
        <f t="shared" si="1"/>
        <v>1</v>
      </c>
      <c r="V13" s="1066"/>
      <c r="W13" s="1061"/>
      <c r="X13" s="1061"/>
      <c r="Y13" s="1061"/>
      <c r="Z13" s="1061"/>
      <c r="AA13" s="1061"/>
      <c r="AB13" s="1061"/>
      <c r="AC13" s="1061"/>
    </row>
    <row r="14" spans="1:29" ht="12.75">
      <c r="A14" s="900">
        <v>1</v>
      </c>
      <c r="B14" s="913" t="s">
        <v>787</v>
      </c>
      <c r="C14" s="1068">
        <f>D14+E14</f>
        <v>0</v>
      </c>
      <c r="D14" s="1068"/>
      <c r="E14" s="1068"/>
      <c r="F14" s="1068">
        <f>G14+H14</f>
        <v>0</v>
      </c>
      <c r="G14" s="1069"/>
      <c r="H14" s="1069"/>
      <c r="I14" s="1069">
        <f>J14+K14</f>
        <v>0</v>
      </c>
      <c r="J14" s="1068"/>
      <c r="K14" s="1068"/>
      <c r="L14" s="1068">
        <f>M14+N14+O14</f>
        <v>0</v>
      </c>
      <c r="M14" s="1068"/>
      <c r="N14" s="1068"/>
      <c r="O14" s="1068"/>
      <c r="P14" s="1068">
        <f>SUM(Q14:U14)</f>
        <v>0</v>
      </c>
      <c r="Q14" s="1068"/>
      <c r="R14" s="1068"/>
      <c r="S14" s="1068"/>
      <c r="T14" s="1068"/>
      <c r="U14" s="1068"/>
      <c r="V14" s="1066"/>
      <c r="W14" s="1061"/>
      <c r="X14" s="1061"/>
      <c r="Y14" s="1061"/>
      <c r="Z14" s="1061"/>
      <c r="AA14" s="1061"/>
      <c r="AB14" s="1061"/>
      <c r="AC14" s="1061"/>
    </row>
    <row r="15" spans="1:29" ht="12.75">
      <c r="A15" s="900">
        <v>2</v>
      </c>
      <c r="B15" s="913" t="s">
        <v>788</v>
      </c>
      <c r="C15" s="1068">
        <f aca="true" t="shared" si="2" ref="C15:C28">D15+E15</f>
        <v>0</v>
      </c>
      <c r="D15" s="1068"/>
      <c r="E15" s="1068"/>
      <c r="F15" s="1068">
        <f aca="true" t="shared" si="3" ref="F15:F28">G15+H15</f>
        <v>0</v>
      </c>
      <c r="G15" s="1069"/>
      <c r="H15" s="1069"/>
      <c r="I15" s="1069">
        <f aca="true" t="shared" si="4" ref="I15:I28">J15+K15</f>
        <v>0</v>
      </c>
      <c r="J15" s="1068"/>
      <c r="K15" s="1068"/>
      <c r="L15" s="1068">
        <f aca="true" t="shared" si="5" ref="L15:L28">M15+N15+O15</f>
        <v>0</v>
      </c>
      <c r="M15" s="1068"/>
      <c r="N15" s="1068"/>
      <c r="O15" s="1068"/>
      <c r="P15" s="1068">
        <f aca="true" t="shared" si="6" ref="P15:P28">SUM(Q15:U15)</f>
        <v>0</v>
      </c>
      <c r="Q15" s="1068"/>
      <c r="R15" s="1068"/>
      <c r="S15" s="1068"/>
      <c r="T15" s="1068"/>
      <c r="U15" s="1068"/>
      <c r="V15" s="1066"/>
      <c r="W15" s="1061"/>
      <c r="X15" s="1061"/>
      <c r="Y15" s="1061"/>
      <c r="Z15" s="1061"/>
      <c r="AA15" s="1061"/>
      <c r="AB15" s="1061"/>
      <c r="AC15" s="1061"/>
    </row>
    <row r="16" spans="1:29" ht="12.75">
      <c r="A16" s="900">
        <v>3</v>
      </c>
      <c r="B16" s="913" t="s">
        <v>789</v>
      </c>
      <c r="C16" s="1068">
        <f t="shared" si="2"/>
        <v>0</v>
      </c>
      <c r="D16" s="1068"/>
      <c r="E16" s="1068"/>
      <c r="F16" s="1068">
        <f t="shared" si="3"/>
        <v>0</v>
      </c>
      <c r="G16" s="1069"/>
      <c r="H16" s="1069"/>
      <c r="I16" s="1069">
        <f t="shared" si="4"/>
        <v>0</v>
      </c>
      <c r="J16" s="1068"/>
      <c r="K16" s="1068"/>
      <c r="L16" s="1068">
        <f t="shared" si="5"/>
        <v>0</v>
      </c>
      <c r="M16" s="1068"/>
      <c r="N16" s="1068"/>
      <c r="O16" s="1068"/>
      <c r="P16" s="1068">
        <f t="shared" si="6"/>
        <v>0</v>
      </c>
      <c r="Q16" s="1068"/>
      <c r="R16" s="1068"/>
      <c r="S16" s="1068"/>
      <c r="T16" s="1068"/>
      <c r="U16" s="1068"/>
      <c r="V16" s="1066"/>
      <c r="W16" s="1061"/>
      <c r="X16" s="1061"/>
      <c r="Y16" s="1061"/>
      <c r="Z16" s="1061"/>
      <c r="AA16" s="1061"/>
      <c r="AB16" s="1061"/>
      <c r="AC16" s="1061"/>
    </row>
    <row r="17" spans="1:29" ht="12.75">
      <c r="A17" s="900">
        <v>4</v>
      </c>
      <c r="B17" s="913" t="s">
        <v>790</v>
      </c>
      <c r="C17" s="1068">
        <f t="shared" si="2"/>
        <v>0</v>
      </c>
      <c r="D17" s="1068"/>
      <c r="E17" s="1068"/>
      <c r="F17" s="1068">
        <f t="shared" si="3"/>
        <v>0</v>
      </c>
      <c r="G17" s="1069"/>
      <c r="H17" s="1069"/>
      <c r="I17" s="1069">
        <f t="shared" si="4"/>
        <v>0</v>
      </c>
      <c r="J17" s="1068"/>
      <c r="K17" s="1068"/>
      <c r="L17" s="1068">
        <f t="shared" si="5"/>
        <v>0</v>
      </c>
      <c r="M17" s="1068"/>
      <c r="N17" s="1068"/>
      <c r="O17" s="1068"/>
      <c r="P17" s="1068">
        <f t="shared" si="6"/>
        <v>0</v>
      </c>
      <c r="Q17" s="1068"/>
      <c r="R17" s="1068"/>
      <c r="S17" s="1068"/>
      <c r="T17" s="1068"/>
      <c r="U17" s="1068"/>
      <c r="V17" s="1066"/>
      <c r="W17" s="1061"/>
      <c r="X17" s="1061"/>
      <c r="Y17" s="1061"/>
      <c r="Z17" s="1061"/>
      <c r="AA17" s="1061"/>
      <c r="AB17" s="1061"/>
      <c r="AC17" s="1061"/>
    </row>
    <row r="18" spans="1:29" s="972" customFormat="1" ht="16.5" customHeight="1">
      <c r="A18" s="900">
        <v>5</v>
      </c>
      <c r="B18" s="913" t="s">
        <v>791</v>
      </c>
      <c r="C18" s="1068">
        <f t="shared" si="2"/>
        <v>1</v>
      </c>
      <c r="D18" s="1068"/>
      <c r="E18" s="1068">
        <v>1</v>
      </c>
      <c r="F18" s="1068">
        <f t="shared" si="3"/>
        <v>1</v>
      </c>
      <c r="G18" s="1069"/>
      <c r="H18" s="1069">
        <v>1</v>
      </c>
      <c r="I18" s="1069">
        <f t="shared" si="4"/>
        <v>1</v>
      </c>
      <c r="J18" s="1068">
        <v>1</v>
      </c>
      <c r="K18" s="1068"/>
      <c r="L18" s="1068">
        <f t="shared" si="5"/>
        <v>0</v>
      </c>
      <c r="M18" s="1068"/>
      <c r="N18" s="1068"/>
      <c r="O18" s="1068"/>
      <c r="P18" s="1068">
        <f t="shared" si="6"/>
        <v>1</v>
      </c>
      <c r="Q18" s="1068"/>
      <c r="R18" s="1068"/>
      <c r="S18" s="1068"/>
      <c r="T18" s="1068">
        <v>1</v>
      </c>
      <c r="U18" s="1068"/>
      <c r="V18" s="1070"/>
      <c r="W18" s="1071"/>
      <c r="X18" s="1071"/>
      <c r="Y18" s="1071"/>
      <c r="Z18" s="1071"/>
      <c r="AA18" s="1071"/>
      <c r="AB18" s="1071"/>
      <c r="AC18" s="1071"/>
    </row>
    <row r="19" spans="1:29" s="972" customFormat="1" ht="16.5" customHeight="1">
      <c r="A19" s="900">
        <v>6</v>
      </c>
      <c r="B19" s="913" t="s">
        <v>792</v>
      </c>
      <c r="C19" s="1068">
        <f t="shared" si="2"/>
        <v>0</v>
      </c>
      <c r="D19" s="1068"/>
      <c r="E19" s="1068"/>
      <c r="F19" s="1068">
        <f t="shared" si="3"/>
        <v>0</v>
      </c>
      <c r="G19" s="1069"/>
      <c r="H19" s="1069"/>
      <c r="I19" s="1069">
        <f t="shared" si="4"/>
        <v>0</v>
      </c>
      <c r="J19" s="1068"/>
      <c r="K19" s="1068"/>
      <c r="L19" s="1068">
        <f t="shared" si="5"/>
        <v>0</v>
      </c>
      <c r="M19" s="1068"/>
      <c r="N19" s="1068"/>
      <c r="O19" s="1068"/>
      <c r="P19" s="1068">
        <f t="shared" si="6"/>
        <v>0</v>
      </c>
      <c r="Q19" s="1068"/>
      <c r="R19" s="1068"/>
      <c r="S19" s="1068"/>
      <c r="T19" s="1068"/>
      <c r="U19" s="1068"/>
      <c r="V19" s="1072"/>
      <c r="W19" s="1071"/>
      <c r="X19" s="1071"/>
      <c r="Y19" s="1071"/>
      <c r="Z19" s="1071"/>
      <c r="AA19" s="1071"/>
      <c r="AB19" s="1071"/>
      <c r="AC19" s="1071"/>
    </row>
    <row r="20" spans="1:29" s="972" customFormat="1" ht="16.5" customHeight="1">
      <c r="A20" s="900">
        <v>7</v>
      </c>
      <c r="B20" s="913" t="s">
        <v>793</v>
      </c>
      <c r="C20" s="1068">
        <f t="shared" si="2"/>
        <v>0</v>
      </c>
      <c r="D20" s="1068"/>
      <c r="E20" s="1068"/>
      <c r="F20" s="1068">
        <f t="shared" si="3"/>
        <v>0</v>
      </c>
      <c r="G20" s="1069"/>
      <c r="H20" s="1069"/>
      <c r="I20" s="1069">
        <f t="shared" si="4"/>
        <v>0</v>
      </c>
      <c r="J20" s="1068"/>
      <c r="K20" s="1068"/>
      <c r="L20" s="1068">
        <f t="shared" si="5"/>
        <v>0</v>
      </c>
      <c r="M20" s="1068"/>
      <c r="N20" s="1068"/>
      <c r="O20" s="1068"/>
      <c r="P20" s="1068">
        <f t="shared" si="6"/>
        <v>0</v>
      </c>
      <c r="Q20" s="1068"/>
      <c r="R20" s="1068"/>
      <c r="S20" s="1068"/>
      <c r="T20" s="1068"/>
      <c r="U20" s="1068"/>
      <c r="V20" s="1071"/>
      <c r="W20" s="1071"/>
      <c r="X20" s="1071"/>
      <c r="Y20" s="1071"/>
      <c r="Z20" s="1071"/>
      <c r="AA20" s="1071"/>
      <c r="AB20" s="1071"/>
      <c r="AC20" s="1071"/>
    </row>
    <row r="21" spans="1:29" s="972" customFormat="1" ht="15.75" customHeight="1">
      <c r="A21" s="900">
        <v>8</v>
      </c>
      <c r="B21" s="913" t="s">
        <v>794</v>
      </c>
      <c r="C21" s="1068">
        <f t="shared" si="2"/>
        <v>0</v>
      </c>
      <c r="D21" s="1068"/>
      <c r="E21" s="1068"/>
      <c r="F21" s="1068">
        <f t="shared" si="3"/>
        <v>0</v>
      </c>
      <c r="G21" s="1069"/>
      <c r="H21" s="1069"/>
      <c r="I21" s="1069">
        <f t="shared" si="4"/>
        <v>0</v>
      </c>
      <c r="J21" s="1068"/>
      <c r="K21" s="1068"/>
      <c r="L21" s="1068">
        <f t="shared" si="5"/>
        <v>0</v>
      </c>
      <c r="M21" s="1068"/>
      <c r="N21" s="1068"/>
      <c r="O21" s="1068"/>
      <c r="P21" s="1068">
        <f t="shared" si="6"/>
        <v>0</v>
      </c>
      <c r="Q21" s="1068"/>
      <c r="R21" s="1068"/>
      <c r="S21" s="1068"/>
      <c r="T21" s="1068"/>
      <c r="U21" s="1068"/>
      <c r="V21" s="1071"/>
      <c r="W21" s="1071"/>
      <c r="X21" s="1071"/>
      <c r="Y21" s="1071"/>
      <c r="Z21" s="1071"/>
      <c r="AA21" s="1071"/>
      <c r="AB21" s="1071"/>
      <c r="AC21" s="1071"/>
    </row>
    <row r="22" spans="1:29" s="972" customFormat="1" ht="15.75" customHeight="1">
      <c r="A22" s="900">
        <v>9</v>
      </c>
      <c r="B22" s="913" t="s">
        <v>795</v>
      </c>
      <c r="C22" s="1068">
        <f t="shared" si="2"/>
        <v>2</v>
      </c>
      <c r="D22" s="1068"/>
      <c r="E22" s="1068">
        <v>2</v>
      </c>
      <c r="F22" s="1068">
        <f t="shared" si="3"/>
        <v>2</v>
      </c>
      <c r="G22" s="1069"/>
      <c r="H22" s="1069">
        <v>2</v>
      </c>
      <c r="I22" s="1069">
        <f t="shared" si="4"/>
        <v>2</v>
      </c>
      <c r="J22" s="1068">
        <v>1</v>
      </c>
      <c r="K22" s="1068">
        <v>1</v>
      </c>
      <c r="L22" s="1068">
        <f t="shared" si="5"/>
        <v>0</v>
      </c>
      <c r="M22" s="1068"/>
      <c r="N22" s="1068"/>
      <c r="O22" s="1068"/>
      <c r="P22" s="1068">
        <f t="shared" si="6"/>
        <v>2</v>
      </c>
      <c r="Q22" s="1068">
        <v>1</v>
      </c>
      <c r="R22" s="1068"/>
      <c r="S22" s="1068"/>
      <c r="T22" s="1068">
        <v>1</v>
      </c>
      <c r="U22" s="1068"/>
      <c r="V22" s="1071"/>
      <c r="W22" s="1071"/>
      <c r="X22" s="1071"/>
      <c r="Y22" s="1071"/>
      <c r="Z22" s="1071"/>
      <c r="AA22" s="1071"/>
      <c r="AB22" s="1071"/>
      <c r="AC22" s="1071"/>
    </row>
    <row r="23" spans="1:29" s="972" customFormat="1" ht="15.75" customHeight="1">
      <c r="A23" s="900">
        <v>10</v>
      </c>
      <c r="B23" s="913" t="s">
        <v>796</v>
      </c>
      <c r="C23" s="1068">
        <f t="shared" si="2"/>
        <v>1</v>
      </c>
      <c r="D23" s="1068"/>
      <c r="E23" s="1068">
        <v>1</v>
      </c>
      <c r="F23" s="1068">
        <f t="shared" si="3"/>
        <v>1</v>
      </c>
      <c r="G23" s="1069"/>
      <c r="H23" s="1069">
        <v>1</v>
      </c>
      <c r="I23" s="1069">
        <f t="shared" si="4"/>
        <v>1</v>
      </c>
      <c r="J23" s="1068"/>
      <c r="K23" s="1068">
        <v>1</v>
      </c>
      <c r="L23" s="1068">
        <f t="shared" si="5"/>
        <v>0</v>
      </c>
      <c r="M23" s="1068"/>
      <c r="N23" s="1068"/>
      <c r="O23" s="1068"/>
      <c r="P23" s="1068">
        <f t="shared" si="6"/>
        <v>1</v>
      </c>
      <c r="Q23" s="1068"/>
      <c r="R23" s="1068"/>
      <c r="S23" s="1068"/>
      <c r="T23" s="1068"/>
      <c r="U23" s="1068">
        <v>1</v>
      </c>
      <c r="V23" s="1071"/>
      <c r="W23" s="1071"/>
      <c r="X23" s="1071"/>
      <c r="Y23" s="1071"/>
      <c r="Z23" s="1071"/>
      <c r="AA23" s="1071"/>
      <c r="AB23" s="1071"/>
      <c r="AC23" s="1071"/>
    </row>
    <row r="24" spans="1:29" s="972" customFormat="1" ht="15.75" customHeight="1">
      <c r="A24" s="900">
        <v>11</v>
      </c>
      <c r="B24" s="913" t="s">
        <v>797</v>
      </c>
      <c r="C24" s="1068">
        <f t="shared" si="2"/>
        <v>0</v>
      </c>
      <c r="D24" s="1068"/>
      <c r="E24" s="1068"/>
      <c r="F24" s="1068">
        <f t="shared" si="3"/>
        <v>0</v>
      </c>
      <c r="G24" s="1069"/>
      <c r="H24" s="1069"/>
      <c r="I24" s="1069">
        <f t="shared" si="4"/>
        <v>0</v>
      </c>
      <c r="J24" s="1068"/>
      <c r="K24" s="1068"/>
      <c r="L24" s="1068">
        <f t="shared" si="5"/>
        <v>0</v>
      </c>
      <c r="M24" s="1068"/>
      <c r="N24" s="1068"/>
      <c r="O24" s="1068"/>
      <c r="P24" s="1068">
        <f t="shared" si="6"/>
        <v>0</v>
      </c>
      <c r="Q24" s="1068"/>
      <c r="R24" s="1068"/>
      <c r="S24" s="1068"/>
      <c r="T24" s="1068"/>
      <c r="U24" s="1068"/>
      <c r="V24" s="1071"/>
      <c r="W24" s="1071"/>
      <c r="X24" s="1071"/>
      <c r="Y24" s="1071"/>
      <c r="Z24" s="1071"/>
      <c r="AA24" s="1071"/>
      <c r="AB24" s="1071"/>
      <c r="AC24" s="1071"/>
    </row>
    <row r="25" spans="1:29" s="972" customFormat="1" ht="15.75" customHeight="1">
      <c r="A25" s="900">
        <v>12</v>
      </c>
      <c r="B25" s="913" t="s">
        <v>798</v>
      </c>
      <c r="C25" s="1068">
        <f t="shared" si="2"/>
        <v>0</v>
      </c>
      <c r="D25" s="1068"/>
      <c r="E25" s="1068"/>
      <c r="F25" s="1068">
        <f t="shared" si="3"/>
        <v>0</v>
      </c>
      <c r="G25" s="1069"/>
      <c r="H25" s="1069"/>
      <c r="I25" s="1069">
        <f t="shared" si="4"/>
        <v>0</v>
      </c>
      <c r="J25" s="1068"/>
      <c r="K25" s="1068"/>
      <c r="L25" s="1068">
        <f t="shared" si="5"/>
        <v>0</v>
      </c>
      <c r="M25" s="1068"/>
      <c r="N25" s="1068"/>
      <c r="O25" s="1068"/>
      <c r="P25" s="1068">
        <f t="shared" si="6"/>
        <v>0</v>
      </c>
      <c r="Q25" s="1068"/>
      <c r="R25" s="1068"/>
      <c r="S25" s="1068"/>
      <c r="T25" s="1068"/>
      <c r="U25" s="1068"/>
      <c r="V25" s="1071"/>
      <c r="W25" s="1071"/>
      <c r="X25" s="1071"/>
      <c r="Y25" s="1071"/>
      <c r="Z25" s="1071"/>
      <c r="AA25" s="1071"/>
      <c r="AB25" s="1071"/>
      <c r="AC25" s="1071"/>
    </row>
    <row r="26" spans="1:29" s="972" customFormat="1" ht="15.75" customHeight="1">
      <c r="A26" s="900">
        <v>13</v>
      </c>
      <c r="B26" s="913" t="s">
        <v>799</v>
      </c>
      <c r="C26" s="1068">
        <f t="shared" si="2"/>
        <v>0</v>
      </c>
      <c r="D26" s="1068"/>
      <c r="E26" s="1068"/>
      <c r="F26" s="1068">
        <f t="shared" si="3"/>
        <v>0</v>
      </c>
      <c r="G26" s="1069"/>
      <c r="H26" s="1069"/>
      <c r="I26" s="1069">
        <f t="shared" si="4"/>
        <v>0</v>
      </c>
      <c r="J26" s="1068"/>
      <c r="K26" s="1068"/>
      <c r="L26" s="1068">
        <f t="shared" si="5"/>
        <v>0</v>
      </c>
      <c r="M26" s="1068"/>
      <c r="N26" s="1068"/>
      <c r="O26" s="1068"/>
      <c r="P26" s="1068">
        <f t="shared" si="6"/>
        <v>0</v>
      </c>
      <c r="Q26" s="1068"/>
      <c r="R26" s="1068"/>
      <c r="S26" s="1068"/>
      <c r="T26" s="1068"/>
      <c r="U26" s="1068"/>
      <c r="V26" s="1071"/>
      <c r="W26" s="1071"/>
      <c r="X26" s="1071"/>
      <c r="Y26" s="1071"/>
      <c r="Z26" s="1071"/>
      <c r="AA26" s="1071"/>
      <c r="AB26" s="1071"/>
      <c r="AC26" s="1071"/>
    </row>
    <row r="27" spans="1:29" s="972" customFormat="1" ht="15.75" customHeight="1">
      <c r="A27" s="900">
        <v>14</v>
      </c>
      <c r="B27" s="913" t="s">
        <v>800</v>
      </c>
      <c r="C27" s="1068">
        <f t="shared" si="2"/>
        <v>1</v>
      </c>
      <c r="D27" s="1068"/>
      <c r="E27" s="1068">
        <v>1</v>
      </c>
      <c r="F27" s="1068">
        <f t="shared" si="3"/>
        <v>1</v>
      </c>
      <c r="G27" s="1069"/>
      <c r="H27" s="1069">
        <v>1</v>
      </c>
      <c r="I27" s="1069">
        <f t="shared" si="4"/>
        <v>1</v>
      </c>
      <c r="J27" s="1068">
        <v>1</v>
      </c>
      <c r="K27" s="1068"/>
      <c r="L27" s="1068">
        <f t="shared" si="5"/>
        <v>0</v>
      </c>
      <c r="M27" s="1068"/>
      <c r="N27" s="1068"/>
      <c r="O27" s="1068"/>
      <c r="P27" s="1068">
        <f t="shared" si="6"/>
        <v>1</v>
      </c>
      <c r="Q27" s="1068"/>
      <c r="R27" s="1068"/>
      <c r="S27" s="1068"/>
      <c r="T27" s="1068">
        <v>1</v>
      </c>
      <c r="U27" s="1068"/>
      <c r="V27" s="1071"/>
      <c r="W27" s="1071"/>
      <c r="X27" s="1071"/>
      <c r="Y27" s="1071"/>
      <c r="Z27" s="1071"/>
      <c r="AA27" s="1071"/>
      <c r="AB27" s="1071"/>
      <c r="AC27" s="1071"/>
    </row>
    <row r="28" spans="1:29" s="972" customFormat="1" ht="15.75" customHeight="1">
      <c r="A28" s="900">
        <v>15</v>
      </c>
      <c r="B28" s="913" t="s">
        <v>801</v>
      </c>
      <c r="C28" s="1068">
        <f t="shared" si="2"/>
        <v>0</v>
      </c>
      <c r="D28" s="1068"/>
      <c r="E28" s="1068"/>
      <c r="F28" s="1068">
        <f t="shared" si="3"/>
        <v>0</v>
      </c>
      <c r="G28" s="1069"/>
      <c r="H28" s="1069"/>
      <c r="I28" s="1069">
        <f t="shared" si="4"/>
        <v>0</v>
      </c>
      <c r="J28" s="1068"/>
      <c r="K28" s="1068"/>
      <c r="L28" s="1068">
        <f t="shared" si="5"/>
        <v>0</v>
      </c>
      <c r="M28" s="1068"/>
      <c r="N28" s="1068"/>
      <c r="O28" s="1068"/>
      <c r="P28" s="1068">
        <f t="shared" si="6"/>
        <v>0</v>
      </c>
      <c r="Q28" s="1068"/>
      <c r="R28" s="1068"/>
      <c r="S28" s="1068"/>
      <c r="T28" s="1068"/>
      <c r="U28" s="1068"/>
      <c r="V28" s="1071"/>
      <c r="W28" s="1071"/>
      <c r="X28" s="1071"/>
      <c r="Y28" s="1071"/>
      <c r="Z28" s="1071"/>
      <c r="AA28" s="1071"/>
      <c r="AB28" s="1071"/>
      <c r="AC28" s="1071"/>
    </row>
    <row r="29" spans="1:21" ht="22.5" customHeight="1">
      <c r="A29" s="976"/>
      <c r="B29" s="1699"/>
      <c r="C29" s="1699"/>
      <c r="D29" s="1699"/>
      <c r="E29" s="1699"/>
      <c r="F29" s="1699"/>
      <c r="G29" s="1699"/>
      <c r="H29" s="939"/>
      <c r="I29" s="939"/>
      <c r="J29" s="939"/>
      <c r="K29" s="939"/>
      <c r="L29" s="939"/>
      <c r="M29" s="948"/>
      <c r="N29" s="1700" t="str">
        <f>'Thong tin'!B8</f>
        <v>Hải Phòng, ngày 03 tháng 8 năm 2017</v>
      </c>
      <c r="O29" s="1700"/>
      <c r="P29" s="1700"/>
      <c r="Q29" s="1700"/>
      <c r="R29" s="1700"/>
      <c r="S29" s="1700"/>
      <c r="T29" s="1700"/>
      <c r="U29" s="1700"/>
    </row>
    <row r="30" spans="1:21" ht="17.25" customHeight="1">
      <c r="A30" s="976"/>
      <c r="B30" s="1701" t="s">
        <v>4</v>
      </c>
      <c r="C30" s="1701"/>
      <c r="D30" s="1701"/>
      <c r="E30" s="1701"/>
      <c r="F30" s="1701"/>
      <c r="G30" s="1701"/>
      <c r="H30" s="941"/>
      <c r="I30" s="941"/>
      <c r="J30" s="941"/>
      <c r="K30" s="941"/>
      <c r="L30" s="941"/>
      <c r="M30" s="948"/>
      <c r="N30" s="1702" t="str">
        <f>'Thong tin'!B7</f>
        <v>
PHÓ CỤC TRƯỞNG</v>
      </c>
      <c r="O30" s="1702"/>
      <c r="P30" s="1702"/>
      <c r="Q30" s="1702"/>
      <c r="R30" s="1702"/>
      <c r="S30" s="1702"/>
      <c r="T30" s="1702"/>
      <c r="U30" s="1702"/>
    </row>
    <row r="31" spans="1:21" ht="18" customHeight="1">
      <c r="A31" s="951"/>
      <c r="B31" s="1707"/>
      <c r="C31" s="1707"/>
      <c r="D31" s="1707"/>
      <c r="E31" s="1707"/>
      <c r="F31" s="1707"/>
      <c r="G31" s="950"/>
      <c r="H31" s="950"/>
      <c r="I31" s="950"/>
      <c r="J31" s="950"/>
      <c r="K31" s="950"/>
      <c r="L31" s="950"/>
      <c r="M31" s="950"/>
      <c r="N31" s="1702"/>
      <c r="O31" s="1702"/>
      <c r="P31" s="1702"/>
      <c r="Q31" s="1702"/>
      <c r="R31" s="1702"/>
      <c r="S31" s="1702"/>
      <c r="T31" s="1702"/>
      <c r="U31" s="1702"/>
    </row>
    <row r="32" spans="2:21" ht="23.25" customHeight="1">
      <c r="B32" s="1708"/>
      <c r="C32" s="1708"/>
      <c r="D32" s="1708"/>
      <c r="E32" s="1708"/>
      <c r="F32" s="1708"/>
      <c r="G32" s="948"/>
      <c r="H32" s="948"/>
      <c r="I32" s="948"/>
      <c r="J32" s="948"/>
      <c r="K32" s="948"/>
      <c r="L32" s="948"/>
      <c r="M32" s="948"/>
      <c r="N32" s="948"/>
      <c r="O32" s="948"/>
      <c r="P32" s="1708"/>
      <c r="Q32" s="1708"/>
      <c r="R32" s="1708"/>
      <c r="S32" s="1708"/>
      <c r="T32" s="1708"/>
      <c r="U32" s="948"/>
    </row>
    <row r="33" spans="2:21" ht="3" customHeight="1">
      <c r="B33" s="948"/>
      <c r="C33" s="948"/>
      <c r="D33" s="948"/>
      <c r="E33" s="948"/>
      <c r="F33" s="948"/>
      <c r="G33" s="948"/>
      <c r="H33" s="948"/>
      <c r="I33" s="948"/>
      <c r="J33" s="948"/>
      <c r="K33" s="948"/>
      <c r="L33" s="948"/>
      <c r="M33" s="948"/>
      <c r="N33" s="948"/>
      <c r="O33" s="948"/>
      <c r="P33" s="948"/>
      <c r="Q33" s="1709"/>
      <c r="R33" s="1709"/>
      <c r="S33" s="948"/>
      <c r="T33" s="948"/>
      <c r="U33" s="948"/>
    </row>
    <row r="34" spans="2:21" ht="10.5" customHeight="1">
      <c r="B34" s="948"/>
      <c r="C34" s="948"/>
      <c r="D34" s="948"/>
      <c r="E34" s="948"/>
      <c r="F34" s="948"/>
      <c r="G34" s="948"/>
      <c r="H34" s="948"/>
      <c r="I34" s="948"/>
      <c r="J34" s="948"/>
      <c r="K34" s="948"/>
      <c r="L34" s="948"/>
      <c r="M34" s="948"/>
      <c r="N34" s="948"/>
      <c r="O34" s="948"/>
      <c r="P34" s="948"/>
      <c r="Q34" s="948"/>
      <c r="R34" s="948"/>
      <c r="S34" s="948"/>
      <c r="T34" s="948"/>
      <c r="U34" s="948"/>
    </row>
    <row r="35" spans="2:21" ht="18">
      <c r="B35" s="948"/>
      <c r="C35" s="948"/>
      <c r="D35" s="948"/>
      <c r="E35" s="948"/>
      <c r="F35" s="948"/>
      <c r="G35" s="948"/>
      <c r="H35" s="948"/>
      <c r="I35" s="948"/>
      <c r="J35" s="948" t="s">
        <v>599</v>
      </c>
      <c r="K35" s="948"/>
      <c r="L35" s="948"/>
      <c r="M35" s="948"/>
      <c r="N35" s="948"/>
      <c r="O35" s="948"/>
      <c r="P35" s="948"/>
      <c r="Q35" s="948"/>
      <c r="R35" s="948"/>
      <c r="S35" s="948"/>
      <c r="T35" s="948"/>
      <c r="U35" s="948"/>
    </row>
    <row r="36" spans="2:21" ht="16.5">
      <c r="B36" s="1710" t="str">
        <f>'Thong tin'!B5</f>
        <v>Trần Thị Minh</v>
      </c>
      <c r="C36" s="1710"/>
      <c r="D36" s="1710"/>
      <c r="E36" s="1710"/>
      <c r="F36" s="1710"/>
      <c r="G36" s="1710"/>
      <c r="H36" s="1073"/>
      <c r="I36" s="1074"/>
      <c r="J36" s="1074"/>
      <c r="K36" s="1074"/>
      <c r="L36" s="1074"/>
      <c r="M36" s="1074"/>
      <c r="N36" s="1710" t="str">
        <f>'Thong tin'!B6</f>
        <v>Nguyễn Thị Mai Hoa</v>
      </c>
      <c r="O36" s="1710"/>
      <c r="P36" s="1710"/>
      <c r="Q36" s="1710"/>
      <c r="R36" s="1710"/>
      <c r="S36" s="1710"/>
      <c r="T36" s="1710"/>
      <c r="U36" s="1710"/>
    </row>
    <row r="38" spans="15:20" ht="12.75">
      <c r="O38" s="1711"/>
      <c r="P38" s="1711"/>
      <c r="Q38" s="1711"/>
      <c r="R38" s="1711"/>
      <c r="S38" s="1711"/>
      <c r="T38" s="1711"/>
    </row>
    <row r="40" ht="12.75" hidden="1"/>
    <row r="41" spans="1:14" ht="12.75" customHeight="1" hidden="1">
      <c r="A41" s="1075" t="s">
        <v>226</v>
      </c>
      <c r="B41" s="952"/>
      <c r="C41" s="952"/>
      <c r="D41" s="952"/>
      <c r="E41" s="952"/>
      <c r="F41" s="952"/>
      <c r="G41" s="952"/>
      <c r="H41" s="952"/>
      <c r="I41" s="952"/>
      <c r="J41" s="952"/>
      <c r="K41" s="952"/>
      <c r="L41" s="952"/>
      <c r="M41" s="952"/>
      <c r="N41" s="952"/>
    </row>
    <row r="42" spans="1:14" s="1076" customFormat="1" ht="15.75" customHeight="1" hidden="1">
      <c r="A42" s="1706" t="s">
        <v>609</v>
      </c>
      <c r="B42" s="1706"/>
      <c r="C42" s="1706"/>
      <c r="D42" s="1706"/>
      <c r="E42" s="1706"/>
      <c r="F42" s="1706"/>
      <c r="G42" s="1706"/>
      <c r="H42" s="1706"/>
      <c r="I42" s="1706"/>
      <c r="J42" s="1706"/>
      <c r="K42" s="1706"/>
      <c r="L42" s="952"/>
      <c r="M42" s="952"/>
      <c r="N42" s="952"/>
    </row>
    <row r="43" spans="1:14" s="1079" customFormat="1" ht="15" hidden="1">
      <c r="A43" s="1077" t="s">
        <v>610</v>
      </c>
      <c r="B43" s="1078"/>
      <c r="C43" s="1078"/>
      <c r="D43" s="1078"/>
      <c r="E43" s="1078"/>
      <c r="F43" s="1078"/>
      <c r="G43" s="1078"/>
      <c r="H43" s="1078"/>
      <c r="I43" s="1078"/>
      <c r="J43" s="1078"/>
      <c r="K43" s="1078"/>
      <c r="L43" s="1078"/>
      <c r="M43" s="1078"/>
      <c r="N43" s="1078"/>
    </row>
    <row r="44" spans="1:14" s="1076" customFormat="1" ht="15" hidden="1">
      <c r="A44" s="1077" t="s">
        <v>611</v>
      </c>
      <c r="B44" s="1078"/>
      <c r="C44" s="1078"/>
      <c r="D44" s="1078"/>
      <c r="E44" s="1078"/>
      <c r="F44" s="1078"/>
      <c r="G44" s="1078"/>
      <c r="H44" s="1078"/>
      <c r="I44" s="1078"/>
      <c r="J44" s="1078"/>
      <c r="K44" s="1078"/>
      <c r="L44" s="1080"/>
      <c r="M44" s="1080"/>
      <c r="N44" s="1080"/>
    </row>
    <row r="45" spans="1:14" s="1076" customFormat="1" ht="15" hidden="1">
      <c r="A45" s="1080"/>
      <c r="B45" s="1080"/>
      <c r="C45" s="1080"/>
      <c r="D45" s="1080"/>
      <c r="E45" s="1080"/>
      <c r="F45" s="1080"/>
      <c r="G45" s="1080"/>
      <c r="H45" s="1080"/>
      <c r="I45" s="1080"/>
      <c r="J45" s="1080"/>
      <c r="K45" s="1080"/>
      <c r="L45" s="1080"/>
      <c r="M45" s="1080"/>
      <c r="N45" s="1080"/>
    </row>
    <row r="46" spans="1:14" ht="12.75" hidden="1">
      <c r="A46" s="951"/>
      <c r="B46" s="951"/>
      <c r="C46" s="951"/>
      <c r="D46" s="951"/>
      <c r="E46" s="951"/>
      <c r="F46" s="951"/>
      <c r="G46" s="951"/>
      <c r="H46" s="951"/>
      <c r="I46" s="951"/>
      <c r="J46" s="951"/>
      <c r="K46" s="951"/>
      <c r="L46" s="951"/>
      <c r="M46" s="951"/>
      <c r="N46" s="951"/>
    </row>
    <row r="47" ht="15.75" hidden="1">
      <c r="H47" s="998"/>
    </row>
    <row r="48" ht="12.75" hidden="1"/>
    <row r="49" ht="12.75" hidden="1"/>
    <row r="50" ht="12.75" hidden="1"/>
    <row r="51" ht="12.75" hidden="1"/>
    <row r="52" ht="12.75" hidden="1">
      <c r="D52" s="1081"/>
    </row>
    <row r="53" ht="12.75" hidden="1">
      <c r="C53" s="1081"/>
    </row>
    <row r="54" ht="12.75" hidden="1"/>
    <row r="55" ht="12.75" hidden="1"/>
    <row r="56" ht="12.75" hidden="1">
      <c r="L56" s="1081" t="e">
        <f>J56/K56</f>
        <v>#DIV/0!</v>
      </c>
    </row>
    <row r="57" ht="12.75" hidden="1"/>
    <row r="58" ht="12.75" hidden="1"/>
    <row r="59" ht="12.75" hidden="1"/>
    <row r="60" ht="12.75" hidden="1"/>
    <row r="61" ht="12.75" hidden="1"/>
    <row r="62" ht="12.75" hidden="1"/>
    <row r="63" ht="12.75" hidden="1"/>
    <row r="64" ht="12.75" hidden="1"/>
    <row r="65" ht="12.75" hidden="1"/>
  </sheetData>
  <sheetProtection/>
  <mergeCells count="41">
    <mergeCell ref="A42:K42"/>
    <mergeCell ref="B31:F31"/>
    <mergeCell ref="N31:U31"/>
    <mergeCell ref="B32:F32"/>
    <mergeCell ref="P32:T32"/>
    <mergeCell ref="Q33:R33"/>
    <mergeCell ref="B36:G36"/>
    <mergeCell ref="N36:U36"/>
    <mergeCell ref="O38:T38"/>
    <mergeCell ref="B30:G30"/>
    <mergeCell ref="N30:U30"/>
    <mergeCell ref="A11:B11"/>
    <mergeCell ref="Q7:Q9"/>
    <mergeCell ref="R7:R9"/>
    <mergeCell ref="T7:T9"/>
    <mergeCell ref="U7:U9"/>
    <mergeCell ref="C8:C9"/>
    <mergeCell ref="D8:E8"/>
    <mergeCell ref="F8:F9"/>
    <mergeCell ref="B29:G29"/>
    <mergeCell ref="P6:P9"/>
    <mergeCell ref="Q6:U6"/>
    <mergeCell ref="I7:K7"/>
    <mergeCell ref="N29:U29"/>
    <mergeCell ref="G8:H8"/>
    <mergeCell ref="S7:S9"/>
    <mergeCell ref="A2:D2"/>
    <mergeCell ref="A3:D3"/>
    <mergeCell ref="L7:O7"/>
    <mergeCell ref="F6:H7"/>
    <mergeCell ref="I6:O6"/>
    <mergeCell ref="F1:N2"/>
    <mergeCell ref="F3:N3"/>
    <mergeCell ref="P5:U5"/>
    <mergeCell ref="A5:B9"/>
    <mergeCell ref="C5:E7"/>
    <mergeCell ref="F5:O5"/>
    <mergeCell ref="I8:I9"/>
    <mergeCell ref="J8:K8"/>
    <mergeCell ref="L8:L9"/>
    <mergeCell ref="M8:O8"/>
  </mergeCells>
  <printOptions/>
  <pageMargins left="0.49" right="0" top="0.14" bottom="0" header="0.07" footer="0.15"/>
  <pageSetup horizontalDpi="600" verticalDpi="600" orientation="landscape" paperSize="9" scale="90" r:id="rId2"/>
  <ignoredErrors>
    <ignoredError sqref="C13:U13" formula="1"/>
  </ignoredErrors>
  <drawing r:id="rId1"/>
</worksheet>
</file>

<file path=xl/worksheets/sheet28.xml><?xml version="1.0" encoding="utf-8"?>
<worksheet xmlns="http://schemas.openxmlformats.org/spreadsheetml/2006/main" xmlns:r="http://schemas.openxmlformats.org/officeDocument/2006/relationships">
  <sheetPr>
    <tabColor indexed="13"/>
  </sheetPr>
  <dimension ref="A1:U40"/>
  <sheetViews>
    <sheetView view="pageBreakPreview" zoomScaleSheetLayoutView="100" zoomScalePageLayoutView="0" workbookViewId="0" topLeftCell="A7">
      <selection activeCell="A23" sqref="A1:IV16384"/>
    </sheetView>
  </sheetViews>
  <sheetFormatPr defaultColWidth="9.00390625" defaultRowHeight="15.75"/>
  <cols>
    <col min="1" max="1" width="3.50390625" style="940" customWidth="1"/>
    <col min="2" max="2" width="23.375" style="940" customWidth="1"/>
    <col min="3" max="3" width="5.75390625" style="940" customWidth="1"/>
    <col min="4" max="4" width="5.625" style="940" customWidth="1"/>
    <col min="5" max="5" width="4.875" style="940" customWidth="1"/>
    <col min="6" max="9" width="5.75390625" style="940" customWidth="1"/>
    <col min="10" max="10" width="6.875" style="940" customWidth="1"/>
    <col min="11" max="11" width="7.50390625" style="940" customWidth="1"/>
    <col min="12" max="12" width="5.75390625" style="940" customWidth="1"/>
    <col min="13" max="13" width="8.75390625" style="940" customWidth="1"/>
    <col min="14" max="14" width="9.00390625" style="940" customWidth="1"/>
    <col min="15" max="15" width="7.375" style="940" customWidth="1"/>
    <col min="16" max="21" width="5.75390625" style="940" customWidth="1"/>
    <col min="22" max="16384" width="9.00390625" style="940" customWidth="1"/>
  </cols>
  <sheetData>
    <row r="1" spans="1:21" ht="19.5" customHeight="1">
      <c r="A1" s="1017" t="s">
        <v>675</v>
      </c>
      <c r="B1" s="1018"/>
      <c r="C1" s="1018"/>
      <c r="D1" s="1019"/>
      <c r="E1" s="1020"/>
      <c r="F1" s="1724" t="s">
        <v>612</v>
      </c>
      <c r="G1" s="1724"/>
      <c r="H1" s="1724"/>
      <c r="I1" s="1724"/>
      <c r="J1" s="1724"/>
      <c r="K1" s="1724"/>
      <c r="L1" s="1724"/>
      <c r="M1" s="1724"/>
      <c r="N1" s="1724"/>
      <c r="O1" s="1021"/>
      <c r="P1" s="1721" t="s">
        <v>667</v>
      </c>
      <c r="Q1" s="1722"/>
      <c r="R1" s="1722"/>
      <c r="S1" s="1722"/>
      <c r="T1" s="1722"/>
      <c r="U1" s="1722"/>
    </row>
    <row r="2" spans="1:21" ht="15.75" customHeight="1">
      <c r="A2" s="1618" t="s">
        <v>344</v>
      </c>
      <c r="B2" s="1618"/>
      <c r="C2" s="1618"/>
      <c r="D2" s="1618"/>
      <c r="E2" s="1022"/>
      <c r="F2" s="1724"/>
      <c r="G2" s="1724"/>
      <c r="H2" s="1724"/>
      <c r="I2" s="1724"/>
      <c r="J2" s="1724"/>
      <c r="K2" s="1724"/>
      <c r="L2" s="1724"/>
      <c r="M2" s="1724"/>
      <c r="N2" s="1724"/>
      <c r="O2" s="1021"/>
      <c r="P2" s="1720" t="str">
        <f>'Thong tin'!B4</f>
        <v>CTHADS Hải Phòng</v>
      </c>
      <c r="Q2" s="1720"/>
      <c r="R2" s="1720"/>
      <c r="S2" s="1720"/>
      <c r="T2" s="1720"/>
      <c r="U2" s="1720"/>
    </row>
    <row r="3" spans="1:20" ht="15.75" customHeight="1">
      <c r="A3" s="1620" t="s">
        <v>345</v>
      </c>
      <c r="B3" s="1620"/>
      <c r="C3" s="1620"/>
      <c r="D3" s="1620"/>
      <c r="E3" s="1022"/>
      <c r="F3" s="1731" t="str">
        <f>'Thong tin'!B3</f>
        <v>10 tháng / năm 2017</v>
      </c>
      <c r="G3" s="1732"/>
      <c r="H3" s="1732"/>
      <c r="I3" s="1732"/>
      <c r="J3" s="1732"/>
      <c r="K3" s="1732"/>
      <c r="L3" s="1732"/>
      <c r="M3" s="1732"/>
      <c r="N3" s="1732"/>
      <c r="O3" s="1023"/>
      <c r="P3" s="1024" t="s">
        <v>666</v>
      </c>
      <c r="Q3" s="1025"/>
      <c r="R3" s="1025"/>
      <c r="S3" s="1025"/>
      <c r="T3" s="1025"/>
    </row>
    <row r="4" spans="1:20" ht="15" customHeight="1">
      <c r="A4" s="1026" t="s">
        <v>217</v>
      </c>
      <c r="B4" s="1027"/>
      <c r="C4" s="1027"/>
      <c r="D4" s="1027"/>
      <c r="E4" s="1028"/>
      <c r="F4" s="1028"/>
      <c r="G4" s="1028"/>
      <c r="H4" s="1028"/>
      <c r="I4" s="1028"/>
      <c r="J4" s="1028"/>
      <c r="K4" s="1028"/>
      <c r="L4" s="1028"/>
      <c r="M4" s="1028"/>
      <c r="N4" s="1028"/>
      <c r="O4" s="1028"/>
      <c r="P4" s="1029" t="s">
        <v>613</v>
      </c>
      <c r="Q4" s="926"/>
      <c r="R4" s="926"/>
      <c r="S4" s="926"/>
      <c r="T4" s="926"/>
    </row>
    <row r="5" spans="1:21" s="1030" customFormat="1" ht="15.75" customHeight="1">
      <c r="A5" s="1716" t="s">
        <v>72</v>
      </c>
      <c r="B5" s="1717"/>
      <c r="C5" s="1714" t="s">
        <v>587</v>
      </c>
      <c r="D5" s="1714"/>
      <c r="E5" s="1714"/>
      <c r="F5" s="1714" t="s">
        <v>614</v>
      </c>
      <c r="G5" s="1714"/>
      <c r="H5" s="1714"/>
      <c r="I5" s="1714"/>
      <c r="J5" s="1714"/>
      <c r="K5" s="1714"/>
      <c r="L5" s="1714"/>
      <c r="M5" s="1714"/>
      <c r="N5" s="1714"/>
      <c r="O5" s="1714"/>
      <c r="P5" s="1714" t="s">
        <v>615</v>
      </c>
      <c r="Q5" s="1714"/>
      <c r="R5" s="1714"/>
      <c r="S5" s="1714"/>
      <c r="T5" s="1714"/>
      <c r="U5" s="1714"/>
    </row>
    <row r="6" spans="1:21" s="1030" customFormat="1" ht="14.25" customHeight="1">
      <c r="A6" s="1718"/>
      <c r="B6" s="1719"/>
      <c r="C6" s="1714"/>
      <c r="D6" s="1714"/>
      <c r="E6" s="1714"/>
      <c r="F6" s="1714" t="s">
        <v>616</v>
      </c>
      <c r="G6" s="1714"/>
      <c r="H6" s="1714"/>
      <c r="I6" s="1714" t="s">
        <v>591</v>
      </c>
      <c r="J6" s="1714"/>
      <c r="K6" s="1714"/>
      <c r="L6" s="1714"/>
      <c r="M6" s="1714"/>
      <c r="N6" s="1714"/>
      <c r="O6" s="1714"/>
      <c r="P6" s="1714" t="s">
        <v>227</v>
      </c>
      <c r="Q6" s="1723" t="s">
        <v>7</v>
      </c>
      <c r="R6" s="1723"/>
      <c r="S6" s="1723"/>
      <c r="T6" s="1723"/>
      <c r="U6" s="1723"/>
    </row>
    <row r="7" spans="1:21" s="1030" customFormat="1" ht="37.5" customHeight="1">
      <c r="A7" s="1718"/>
      <c r="B7" s="1719"/>
      <c r="C7" s="1714"/>
      <c r="D7" s="1714"/>
      <c r="E7" s="1714"/>
      <c r="F7" s="1714"/>
      <c r="G7" s="1714"/>
      <c r="H7" s="1714"/>
      <c r="I7" s="1714" t="s">
        <v>592</v>
      </c>
      <c r="J7" s="1714"/>
      <c r="K7" s="1714"/>
      <c r="L7" s="1714" t="s">
        <v>617</v>
      </c>
      <c r="M7" s="1714"/>
      <c r="N7" s="1714"/>
      <c r="O7" s="1714"/>
      <c r="P7" s="1714"/>
      <c r="Q7" s="1714" t="s">
        <v>594</v>
      </c>
      <c r="R7" s="1714" t="s">
        <v>618</v>
      </c>
      <c r="S7" s="1714" t="s">
        <v>619</v>
      </c>
      <c r="T7" s="1714" t="s">
        <v>620</v>
      </c>
      <c r="U7" s="1714" t="s">
        <v>621</v>
      </c>
    </row>
    <row r="8" spans="1:21" s="1030" customFormat="1" ht="15" customHeight="1">
      <c r="A8" s="1718"/>
      <c r="B8" s="1719"/>
      <c r="C8" s="1714" t="s">
        <v>622</v>
      </c>
      <c r="D8" s="1714" t="s">
        <v>7</v>
      </c>
      <c r="E8" s="1714"/>
      <c r="F8" s="1714" t="s">
        <v>623</v>
      </c>
      <c r="G8" s="1714" t="s">
        <v>7</v>
      </c>
      <c r="H8" s="1714"/>
      <c r="I8" s="1714" t="s">
        <v>624</v>
      </c>
      <c r="J8" s="1714" t="s">
        <v>7</v>
      </c>
      <c r="K8" s="1714"/>
      <c r="L8" s="1714" t="s">
        <v>623</v>
      </c>
      <c r="M8" s="1714" t="s">
        <v>7</v>
      </c>
      <c r="N8" s="1714"/>
      <c r="O8" s="1714"/>
      <c r="P8" s="1714"/>
      <c r="Q8" s="1714"/>
      <c r="R8" s="1715"/>
      <c r="S8" s="1725"/>
      <c r="T8" s="1714"/>
      <c r="U8" s="1714"/>
    </row>
    <row r="9" spans="1:21" s="1030" customFormat="1" ht="89.25" customHeight="1">
      <c r="A9" s="1718"/>
      <c r="B9" s="1719"/>
      <c r="C9" s="1714"/>
      <c r="D9" s="1031" t="s">
        <v>625</v>
      </c>
      <c r="E9" s="1031" t="s">
        <v>626</v>
      </c>
      <c r="F9" s="1715"/>
      <c r="G9" s="1031" t="s">
        <v>627</v>
      </c>
      <c r="H9" s="1031" t="s">
        <v>628</v>
      </c>
      <c r="I9" s="1715"/>
      <c r="J9" s="1031" t="s">
        <v>629</v>
      </c>
      <c r="K9" s="1031" t="s">
        <v>630</v>
      </c>
      <c r="L9" s="1714"/>
      <c r="M9" s="1031" t="s">
        <v>631</v>
      </c>
      <c r="N9" s="1031" t="s">
        <v>632</v>
      </c>
      <c r="O9" s="1031" t="s">
        <v>633</v>
      </c>
      <c r="P9" s="1714"/>
      <c r="Q9" s="1714"/>
      <c r="R9" s="1715"/>
      <c r="S9" s="1725"/>
      <c r="T9" s="1714"/>
      <c r="U9" s="1714"/>
    </row>
    <row r="10" spans="1:21" ht="12.75">
      <c r="A10" s="1032"/>
      <c r="B10" s="1033" t="s">
        <v>608</v>
      </c>
      <c r="C10" s="1034">
        <v>1</v>
      </c>
      <c r="D10" s="1034">
        <v>2</v>
      </c>
      <c r="E10" s="1034">
        <v>3</v>
      </c>
      <c r="F10" s="1035">
        <v>4</v>
      </c>
      <c r="G10" s="1036">
        <v>5</v>
      </c>
      <c r="H10" s="1035">
        <v>6</v>
      </c>
      <c r="I10" s="1036">
        <v>7</v>
      </c>
      <c r="J10" s="1035">
        <v>8</v>
      </c>
      <c r="K10" s="1036">
        <v>9</v>
      </c>
      <c r="L10" s="1035">
        <v>10</v>
      </c>
      <c r="M10" s="1036">
        <v>11</v>
      </c>
      <c r="N10" s="1035">
        <v>12</v>
      </c>
      <c r="O10" s="1036">
        <v>13</v>
      </c>
      <c r="P10" s="1035">
        <v>14</v>
      </c>
      <c r="Q10" s="1036">
        <v>15</v>
      </c>
      <c r="R10" s="1035">
        <v>16</v>
      </c>
      <c r="S10" s="1036">
        <v>17</v>
      </c>
      <c r="T10" s="1035">
        <v>18</v>
      </c>
      <c r="U10" s="1036">
        <v>19</v>
      </c>
    </row>
    <row r="11" spans="1:21" ht="12.75">
      <c r="A11" s="1712" t="s">
        <v>37</v>
      </c>
      <c r="B11" s="1713"/>
      <c r="C11" s="1037">
        <f>C12+C13</f>
        <v>5</v>
      </c>
      <c r="D11" s="1037">
        <f aca="true" t="shared" si="0" ref="D11:U11">D12+D13</f>
        <v>0</v>
      </c>
      <c r="E11" s="1037">
        <f t="shared" si="0"/>
        <v>5</v>
      </c>
      <c r="F11" s="1037">
        <f t="shared" si="0"/>
        <v>5</v>
      </c>
      <c r="G11" s="1037">
        <f t="shared" si="0"/>
        <v>0</v>
      </c>
      <c r="H11" s="1037">
        <f t="shared" si="0"/>
        <v>5</v>
      </c>
      <c r="I11" s="1037">
        <f t="shared" si="0"/>
        <v>5</v>
      </c>
      <c r="J11" s="1037">
        <f t="shared" si="0"/>
        <v>2</v>
      </c>
      <c r="K11" s="1037">
        <f t="shared" si="0"/>
        <v>3</v>
      </c>
      <c r="L11" s="1037">
        <f t="shared" si="0"/>
        <v>0</v>
      </c>
      <c r="M11" s="1037">
        <f t="shared" si="0"/>
        <v>0</v>
      </c>
      <c r="N11" s="1037">
        <f t="shared" si="0"/>
        <v>0</v>
      </c>
      <c r="O11" s="1037">
        <f t="shared" si="0"/>
        <v>0</v>
      </c>
      <c r="P11" s="1037">
        <f t="shared" si="0"/>
        <v>5</v>
      </c>
      <c r="Q11" s="1037">
        <f t="shared" si="0"/>
        <v>0</v>
      </c>
      <c r="R11" s="1037">
        <f t="shared" si="0"/>
        <v>0</v>
      </c>
      <c r="S11" s="1037">
        <f t="shared" si="0"/>
        <v>1</v>
      </c>
      <c r="T11" s="1037">
        <f t="shared" si="0"/>
        <v>1</v>
      </c>
      <c r="U11" s="1037">
        <f t="shared" si="0"/>
        <v>3</v>
      </c>
    </row>
    <row r="12" spans="1:21" ht="12.75">
      <c r="A12" s="933" t="s">
        <v>0</v>
      </c>
      <c r="B12" s="934" t="s">
        <v>786</v>
      </c>
      <c r="C12" s="1038">
        <f>D12+E12</f>
        <v>2</v>
      </c>
      <c r="D12" s="1039">
        <v>0</v>
      </c>
      <c r="E12" s="1040">
        <v>2</v>
      </c>
      <c r="F12" s="1041">
        <f>G12+H12</f>
        <v>2</v>
      </c>
      <c r="G12" s="1041">
        <v>0</v>
      </c>
      <c r="H12" s="1041">
        <v>2</v>
      </c>
      <c r="I12" s="1041">
        <f>J12+K12</f>
        <v>2</v>
      </c>
      <c r="J12" s="1040">
        <v>0</v>
      </c>
      <c r="K12" s="1041">
        <v>2</v>
      </c>
      <c r="L12" s="1041">
        <f>M12+N12+O12</f>
        <v>0</v>
      </c>
      <c r="M12" s="1041"/>
      <c r="N12" s="1041"/>
      <c r="O12" s="1040"/>
      <c r="P12" s="1041">
        <f>Q12+R12+S12+T12+U12</f>
        <v>2</v>
      </c>
      <c r="Q12" s="1041"/>
      <c r="R12" s="1040"/>
      <c r="S12" s="1041">
        <v>1</v>
      </c>
      <c r="T12" s="1041">
        <v>1</v>
      </c>
      <c r="U12" s="1040"/>
    </row>
    <row r="13" spans="1:21" ht="12.75">
      <c r="A13" s="935" t="s">
        <v>1</v>
      </c>
      <c r="B13" s="934" t="s">
        <v>19</v>
      </c>
      <c r="C13" s="1038">
        <f>SUM(C14:C28)</f>
        <v>3</v>
      </c>
      <c r="D13" s="1038">
        <f aca="true" t="shared" si="1" ref="D13:U13">SUM(D14:D28)</f>
        <v>0</v>
      </c>
      <c r="E13" s="1038">
        <f t="shared" si="1"/>
        <v>3</v>
      </c>
      <c r="F13" s="1038">
        <f t="shared" si="1"/>
        <v>3</v>
      </c>
      <c r="G13" s="1038">
        <f t="shared" si="1"/>
        <v>0</v>
      </c>
      <c r="H13" s="1038">
        <f t="shared" si="1"/>
        <v>3</v>
      </c>
      <c r="I13" s="1038">
        <f t="shared" si="1"/>
        <v>3</v>
      </c>
      <c r="J13" s="1038">
        <f t="shared" si="1"/>
        <v>2</v>
      </c>
      <c r="K13" s="1038">
        <f t="shared" si="1"/>
        <v>1</v>
      </c>
      <c r="L13" s="1038">
        <f t="shared" si="1"/>
        <v>0</v>
      </c>
      <c r="M13" s="1038">
        <f t="shared" si="1"/>
        <v>0</v>
      </c>
      <c r="N13" s="1038">
        <f t="shared" si="1"/>
        <v>0</v>
      </c>
      <c r="O13" s="1038">
        <f t="shared" si="1"/>
        <v>0</v>
      </c>
      <c r="P13" s="1038">
        <f t="shared" si="1"/>
        <v>3</v>
      </c>
      <c r="Q13" s="1038">
        <f t="shared" si="1"/>
        <v>0</v>
      </c>
      <c r="R13" s="1038">
        <f t="shared" si="1"/>
        <v>0</v>
      </c>
      <c r="S13" s="1038">
        <f t="shared" si="1"/>
        <v>0</v>
      </c>
      <c r="T13" s="1038">
        <f t="shared" si="1"/>
        <v>0</v>
      </c>
      <c r="U13" s="1038">
        <f t="shared" si="1"/>
        <v>3</v>
      </c>
    </row>
    <row r="14" spans="1:21" ht="12.75">
      <c r="A14" s="900">
        <v>1</v>
      </c>
      <c r="B14" s="913" t="s">
        <v>787</v>
      </c>
      <c r="C14" s="1038">
        <f aca="true" t="shared" si="2" ref="C14:C28">D14+E14</f>
        <v>0</v>
      </c>
      <c r="D14" s="1042"/>
      <c r="E14" s="1040"/>
      <c r="F14" s="1041">
        <f aca="true" t="shared" si="3" ref="F14:F28">G14+H14</f>
        <v>0</v>
      </c>
      <c r="G14" s="1041"/>
      <c r="H14" s="1041"/>
      <c r="I14" s="1041">
        <f aca="true" t="shared" si="4" ref="I14:I28">J14+K14</f>
        <v>0</v>
      </c>
      <c r="J14" s="1040"/>
      <c r="K14" s="1041"/>
      <c r="L14" s="1041">
        <f aca="true" t="shared" si="5" ref="L14:L28">M14+N14+O14</f>
        <v>0</v>
      </c>
      <c r="M14" s="1041"/>
      <c r="N14" s="1041"/>
      <c r="O14" s="1040"/>
      <c r="P14" s="1041">
        <f aca="true" t="shared" si="6" ref="P14:P28">Q14+R14+S14+T14+U14</f>
        <v>0</v>
      </c>
      <c r="Q14" s="1041"/>
      <c r="R14" s="1040"/>
      <c r="S14" s="1041"/>
      <c r="T14" s="1041"/>
      <c r="U14" s="1040"/>
    </row>
    <row r="15" spans="1:21" ht="12.75">
      <c r="A15" s="900">
        <v>2</v>
      </c>
      <c r="B15" s="913" t="s">
        <v>788</v>
      </c>
      <c r="C15" s="1038">
        <f t="shared" si="2"/>
        <v>0</v>
      </c>
      <c r="D15" s="1042"/>
      <c r="E15" s="1040"/>
      <c r="F15" s="1041">
        <f t="shared" si="3"/>
        <v>0</v>
      </c>
      <c r="G15" s="1041"/>
      <c r="H15" s="1041"/>
      <c r="I15" s="1041">
        <f t="shared" si="4"/>
        <v>0</v>
      </c>
      <c r="J15" s="1040"/>
      <c r="K15" s="1041"/>
      <c r="L15" s="1041">
        <f t="shared" si="5"/>
        <v>0</v>
      </c>
      <c r="M15" s="1041"/>
      <c r="N15" s="1041"/>
      <c r="O15" s="1040"/>
      <c r="P15" s="1041">
        <f t="shared" si="6"/>
        <v>0</v>
      </c>
      <c r="Q15" s="1041"/>
      <c r="R15" s="1040"/>
      <c r="S15" s="1041"/>
      <c r="T15" s="1041"/>
      <c r="U15" s="1040"/>
    </row>
    <row r="16" spans="1:21" ht="12.75">
      <c r="A16" s="900">
        <v>3</v>
      </c>
      <c r="B16" s="913" t="s">
        <v>789</v>
      </c>
      <c r="C16" s="1038">
        <f t="shared" si="2"/>
        <v>0</v>
      </c>
      <c r="D16" s="1042"/>
      <c r="E16" s="1040"/>
      <c r="F16" s="1041">
        <f t="shared" si="3"/>
        <v>0</v>
      </c>
      <c r="G16" s="1041"/>
      <c r="H16" s="1041"/>
      <c r="I16" s="1041">
        <f t="shared" si="4"/>
        <v>0</v>
      </c>
      <c r="J16" s="1040"/>
      <c r="K16" s="1041"/>
      <c r="L16" s="1041">
        <f t="shared" si="5"/>
        <v>0</v>
      </c>
      <c r="M16" s="1041"/>
      <c r="N16" s="1041"/>
      <c r="O16" s="1040"/>
      <c r="P16" s="1041">
        <f t="shared" si="6"/>
        <v>0</v>
      </c>
      <c r="Q16" s="1041"/>
      <c r="R16" s="1040"/>
      <c r="S16" s="1041"/>
      <c r="T16" s="1041"/>
      <c r="U16" s="1040"/>
    </row>
    <row r="17" spans="1:21" ht="12.75">
      <c r="A17" s="900">
        <v>4</v>
      </c>
      <c r="B17" s="913" t="s">
        <v>790</v>
      </c>
      <c r="C17" s="1038">
        <f t="shared" si="2"/>
        <v>0</v>
      </c>
      <c r="D17" s="1042"/>
      <c r="E17" s="1040"/>
      <c r="F17" s="1041">
        <f t="shared" si="3"/>
        <v>0</v>
      </c>
      <c r="G17" s="1041"/>
      <c r="H17" s="1041"/>
      <c r="I17" s="1041">
        <f t="shared" si="4"/>
        <v>0</v>
      </c>
      <c r="J17" s="1040"/>
      <c r="K17" s="1041"/>
      <c r="L17" s="1041">
        <f t="shared" si="5"/>
        <v>0</v>
      </c>
      <c r="M17" s="1041"/>
      <c r="N17" s="1041"/>
      <c r="O17" s="1040"/>
      <c r="P17" s="1041">
        <f t="shared" si="6"/>
        <v>0</v>
      </c>
      <c r="Q17" s="1041"/>
      <c r="R17" s="1040"/>
      <c r="S17" s="1041"/>
      <c r="T17" s="1041"/>
      <c r="U17" s="1040"/>
    </row>
    <row r="18" spans="1:21" ht="12.75">
      <c r="A18" s="900">
        <v>5</v>
      </c>
      <c r="B18" s="913" t="s">
        <v>791</v>
      </c>
      <c r="C18" s="1038">
        <f t="shared" si="2"/>
        <v>1</v>
      </c>
      <c r="D18" s="1042"/>
      <c r="E18" s="1040">
        <v>1</v>
      </c>
      <c r="F18" s="1041">
        <f t="shared" si="3"/>
        <v>1</v>
      </c>
      <c r="G18" s="1041"/>
      <c r="H18" s="1041">
        <v>1</v>
      </c>
      <c r="I18" s="1041">
        <f t="shared" si="4"/>
        <v>1</v>
      </c>
      <c r="J18" s="1040">
        <v>1</v>
      </c>
      <c r="K18" s="1041"/>
      <c r="L18" s="1041">
        <f t="shared" si="5"/>
        <v>0</v>
      </c>
      <c r="M18" s="1041"/>
      <c r="N18" s="1041"/>
      <c r="O18" s="1040"/>
      <c r="P18" s="1041">
        <f t="shared" si="6"/>
        <v>1</v>
      </c>
      <c r="Q18" s="1041"/>
      <c r="R18" s="1040"/>
      <c r="S18" s="1041"/>
      <c r="T18" s="1041"/>
      <c r="U18" s="1040">
        <v>1</v>
      </c>
    </row>
    <row r="19" spans="1:21" ht="12.75">
      <c r="A19" s="900">
        <v>6</v>
      </c>
      <c r="B19" s="913" t="s">
        <v>792</v>
      </c>
      <c r="C19" s="1038">
        <f t="shared" si="2"/>
        <v>0</v>
      </c>
      <c r="D19" s="1042"/>
      <c r="E19" s="1040"/>
      <c r="F19" s="1041">
        <f t="shared" si="3"/>
        <v>0</v>
      </c>
      <c r="G19" s="1041"/>
      <c r="H19" s="1041"/>
      <c r="I19" s="1041">
        <f t="shared" si="4"/>
        <v>0</v>
      </c>
      <c r="J19" s="1040"/>
      <c r="K19" s="1041"/>
      <c r="L19" s="1041">
        <f t="shared" si="5"/>
        <v>0</v>
      </c>
      <c r="M19" s="1041"/>
      <c r="N19" s="1041"/>
      <c r="O19" s="1040"/>
      <c r="P19" s="1041">
        <f t="shared" si="6"/>
        <v>0</v>
      </c>
      <c r="Q19" s="1041"/>
      <c r="R19" s="1040"/>
      <c r="S19" s="1041"/>
      <c r="T19" s="1041"/>
      <c r="U19" s="1040"/>
    </row>
    <row r="20" spans="1:21" ht="12.75">
      <c r="A20" s="900">
        <v>7</v>
      </c>
      <c r="B20" s="913" t="s">
        <v>793</v>
      </c>
      <c r="C20" s="1038">
        <f t="shared" si="2"/>
        <v>0</v>
      </c>
      <c r="D20" s="1042"/>
      <c r="E20" s="1040"/>
      <c r="F20" s="1041">
        <f t="shared" si="3"/>
        <v>0</v>
      </c>
      <c r="G20" s="1041"/>
      <c r="H20" s="1041"/>
      <c r="I20" s="1041">
        <f t="shared" si="4"/>
        <v>0</v>
      </c>
      <c r="J20" s="1040"/>
      <c r="K20" s="1041"/>
      <c r="L20" s="1041">
        <f t="shared" si="5"/>
        <v>0</v>
      </c>
      <c r="M20" s="1041"/>
      <c r="N20" s="1041"/>
      <c r="O20" s="1040"/>
      <c r="P20" s="1041">
        <f t="shared" si="6"/>
        <v>0</v>
      </c>
      <c r="Q20" s="1041"/>
      <c r="R20" s="1040"/>
      <c r="S20" s="1041"/>
      <c r="T20" s="1041"/>
      <c r="U20" s="1040"/>
    </row>
    <row r="21" spans="1:21" ht="12.75">
      <c r="A21" s="900">
        <v>8</v>
      </c>
      <c r="B21" s="913" t="s">
        <v>794</v>
      </c>
      <c r="C21" s="1038">
        <f t="shared" si="2"/>
        <v>0</v>
      </c>
      <c r="D21" s="1042"/>
      <c r="E21" s="1040"/>
      <c r="F21" s="1041">
        <f t="shared" si="3"/>
        <v>0</v>
      </c>
      <c r="G21" s="1041"/>
      <c r="H21" s="1041"/>
      <c r="I21" s="1041">
        <f t="shared" si="4"/>
        <v>0</v>
      </c>
      <c r="J21" s="1040"/>
      <c r="K21" s="1041"/>
      <c r="L21" s="1041">
        <f t="shared" si="5"/>
        <v>0</v>
      </c>
      <c r="M21" s="1041"/>
      <c r="N21" s="1041"/>
      <c r="O21" s="1040"/>
      <c r="P21" s="1041">
        <f t="shared" si="6"/>
        <v>0</v>
      </c>
      <c r="Q21" s="1041"/>
      <c r="R21" s="1040"/>
      <c r="S21" s="1041"/>
      <c r="T21" s="1041"/>
      <c r="U21" s="1040"/>
    </row>
    <row r="22" spans="1:21" ht="12.75">
      <c r="A22" s="900">
        <v>9</v>
      </c>
      <c r="B22" s="913" t="s">
        <v>795</v>
      </c>
      <c r="C22" s="1038">
        <f t="shared" si="2"/>
        <v>0</v>
      </c>
      <c r="D22" s="1042"/>
      <c r="E22" s="1040"/>
      <c r="F22" s="1041">
        <f t="shared" si="3"/>
        <v>0</v>
      </c>
      <c r="G22" s="1041"/>
      <c r="H22" s="1041"/>
      <c r="I22" s="1041">
        <f t="shared" si="4"/>
        <v>0</v>
      </c>
      <c r="J22" s="1040"/>
      <c r="K22" s="1041"/>
      <c r="L22" s="1041">
        <f t="shared" si="5"/>
        <v>0</v>
      </c>
      <c r="M22" s="1041"/>
      <c r="N22" s="1041"/>
      <c r="O22" s="1040"/>
      <c r="P22" s="1041">
        <f t="shared" si="6"/>
        <v>0</v>
      </c>
      <c r="Q22" s="1041"/>
      <c r="R22" s="1040"/>
      <c r="S22" s="1041"/>
      <c r="T22" s="1041"/>
      <c r="U22" s="1040"/>
    </row>
    <row r="23" spans="1:21" ht="12.75">
      <c r="A23" s="900">
        <v>10</v>
      </c>
      <c r="B23" s="913" t="s">
        <v>796</v>
      </c>
      <c r="C23" s="1038">
        <f t="shared" si="2"/>
        <v>1</v>
      </c>
      <c r="D23" s="1042"/>
      <c r="E23" s="1040">
        <v>1</v>
      </c>
      <c r="F23" s="1041">
        <f t="shared" si="3"/>
        <v>1</v>
      </c>
      <c r="G23" s="1041"/>
      <c r="H23" s="1041">
        <v>1</v>
      </c>
      <c r="I23" s="1041">
        <f t="shared" si="4"/>
        <v>1</v>
      </c>
      <c r="J23" s="1040"/>
      <c r="K23" s="1041">
        <v>1</v>
      </c>
      <c r="L23" s="1041">
        <f t="shared" si="5"/>
        <v>0</v>
      </c>
      <c r="M23" s="1041"/>
      <c r="N23" s="1041"/>
      <c r="O23" s="1040"/>
      <c r="P23" s="1041">
        <f t="shared" si="6"/>
        <v>1</v>
      </c>
      <c r="Q23" s="1041"/>
      <c r="R23" s="1040"/>
      <c r="S23" s="1041"/>
      <c r="T23" s="1041"/>
      <c r="U23" s="1040">
        <v>1</v>
      </c>
    </row>
    <row r="24" spans="1:21" s="1030" customFormat="1" ht="15.75" customHeight="1">
      <c r="A24" s="900">
        <v>11</v>
      </c>
      <c r="B24" s="913" t="s">
        <v>797</v>
      </c>
      <c r="C24" s="1038">
        <f t="shared" si="2"/>
        <v>0</v>
      </c>
      <c r="D24" s="1042"/>
      <c r="E24" s="1040"/>
      <c r="F24" s="1041">
        <f t="shared" si="3"/>
        <v>0</v>
      </c>
      <c r="G24" s="1041"/>
      <c r="H24" s="1041"/>
      <c r="I24" s="1041">
        <f t="shared" si="4"/>
        <v>0</v>
      </c>
      <c r="J24" s="1040"/>
      <c r="K24" s="1041"/>
      <c r="L24" s="1041">
        <f t="shared" si="5"/>
        <v>0</v>
      </c>
      <c r="M24" s="1041"/>
      <c r="N24" s="1041"/>
      <c r="O24" s="1040"/>
      <c r="P24" s="1041">
        <f t="shared" si="6"/>
        <v>0</v>
      </c>
      <c r="Q24" s="1041"/>
      <c r="R24" s="1040"/>
      <c r="S24" s="1041"/>
      <c r="T24" s="1041"/>
      <c r="U24" s="1040"/>
    </row>
    <row r="25" spans="1:21" s="1030" customFormat="1" ht="15.75" customHeight="1">
      <c r="A25" s="900">
        <v>12</v>
      </c>
      <c r="B25" s="913" t="s">
        <v>798</v>
      </c>
      <c r="C25" s="1038">
        <f t="shared" si="2"/>
        <v>1</v>
      </c>
      <c r="D25" s="1042"/>
      <c r="E25" s="1040">
        <v>1</v>
      </c>
      <c r="F25" s="1041">
        <f t="shared" si="3"/>
        <v>1</v>
      </c>
      <c r="G25" s="1041"/>
      <c r="H25" s="1041">
        <v>1</v>
      </c>
      <c r="I25" s="1041">
        <f t="shared" si="4"/>
        <v>1</v>
      </c>
      <c r="J25" s="1040">
        <v>1</v>
      </c>
      <c r="K25" s="1041"/>
      <c r="L25" s="1041">
        <f t="shared" si="5"/>
        <v>0</v>
      </c>
      <c r="M25" s="1041"/>
      <c r="N25" s="1041"/>
      <c r="O25" s="1040"/>
      <c r="P25" s="1041">
        <f t="shared" si="6"/>
        <v>1</v>
      </c>
      <c r="Q25" s="1041"/>
      <c r="R25" s="1040"/>
      <c r="S25" s="1041"/>
      <c r="T25" s="1041"/>
      <c r="U25" s="1040">
        <v>1</v>
      </c>
    </row>
    <row r="26" spans="1:21" s="1030" customFormat="1" ht="15.75" customHeight="1">
      <c r="A26" s="900">
        <v>13</v>
      </c>
      <c r="B26" s="913" t="s">
        <v>799</v>
      </c>
      <c r="C26" s="1038">
        <f t="shared" si="2"/>
        <v>0</v>
      </c>
      <c r="D26" s="1042"/>
      <c r="E26" s="1040"/>
      <c r="F26" s="1041">
        <f t="shared" si="3"/>
        <v>0</v>
      </c>
      <c r="G26" s="1041"/>
      <c r="H26" s="1041"/>
      <c r="I26" s="1041">
        <f t="shared" si="4"/>
        <v>0</v>
      </c>
      <c r="J26" s="1040"/>
      <c r="K26" s="1041"/>
      <c r="L26" s="1041">
        <f t="shared" si="5"/>
        <v>0</v>
      </c>
      <c r="M26" s="1041"/>
      <c r="N26" s="1041"/>
      <c r="O26" s="1040"/>
      <c r="P26" s="1041">
        <f t="shared" si="6"/>
        <v>0</v>
      </c>
      <c r="Q26" s="1041"/>
      <c r="R26" s="1040"/>
      <c r="S26" s="1041"/>
      <c r="T26" s="1041"/>
      <c r="U26" s="1040"/>
    </row>
    <row r="27" spans="1:21" s="1030" customFormat="1" ht="15.75" customHeight="1">
      <c r="A27" s="900">
        <v>14</v>
      </c>
      <c r="B27" s="913" t="s">
        <v>800</v>
      </c>
      <c r="C27" s="1038">
        <f t="shared" si="2"/>
        <v>0</v>
      </c>
      <c r="D27" s="1042"/>
      <c r="E27" s="1040"/>
      <c r="F27" s="1041">
        <f t="shared" si="3"/>
        <v>0</v>
      </c>
      <c r="G27" s="1041"/>
      <c r="H27" s="1041"/>
      <c r="I27" s="1041">
        <f t="shared" si="4"/>
        <v>0</v>
      </c>
      <c r="J27" s="1040"/>
      <c r="K27" s="1041"/>
      <c r="L27" s="1041">
        <f t="shared" si="5"/>
        <v>0</v>
      </c>
      <c r="M27" s="1041"/>
      <c r="N27" s="1041"/>
      <c r="O27" s="1040"/>
      <c r="P27" s="1041">
        <f t="shared" si="6"/>
        <v>0</v>
      </c>
      <c r="Q27" s="1041"/>
      <c r="R27" s="1040"/>
      <c r="S27" s="1041"/>
      <c r="T27" s="1041"/>
      <c r="U27" s="1040"/>
    </row>
    <row r="28" spans="1:21" s="1030" customFormat="1" ht="15.75" customHeight="1">
      <c r="A28" s="900">
        <v>15</v>
      </c>
      <c r="B28" s="913" t="s">
        <v>801</v>
      </c>
      <c r="C28" s="1038">
        <f t="shared" si="2"/>
        <v>0</v>
      </c>
      <c r="D28" s="1042"/>
      <c r="E28" s="1040"/>
      <c r="F28" s="1041">
        <f t="shared" si="3"/>
        <v>0</v>
      </c>
      <c r="G28" s="1041"/>
      <c r="H28" s="1041"/>
      <c r="I28" s="1041">
        <f t="shared" si="4"/>
        <v>0</v>
      </c>
      <c r="J28" s="1040"/>
      <c r="K28" s="1041"/>
      <c r="L28" s="1041">
        <f t="shared" si="5"/>
        <v>0</v>
      </c>
      <c r="M28" s="1041"/>
      <c r="N28" s="1041"/>
      <c r="O28" s="1040"/>
      <c r="P28" s="1041">
        <f t="shared" si="6"/>
        <v>0</v>
      </c>
      <c r="Q28" s="1041"/>
      <c r="R28" s="1040"/>
      <c r="S28" s="1041"/>
      <c r="T28" s="1041"/>
      <c r="U28" s="1040"/>
    </row>
    <row r="29" spans="1:21" ht="26.25" customHeight="1">
      <c r="A29" s="937"/>
      <c r="B29" s="1733"/>
      <c r="C29" s="1733"/>
      <c r="D29" s="1733"/>
      <c r="E29" s="1733"/>
      <c r="F29" s="1733"/>
      <c r="G29" s="1733"/>
      <c r="H29" s="954"/>
      <c r="I29" s="954"/>
      <c r="J29" s="954"/>
      <c r="K29" s="954"/>
      <c r="L29" s="954"/>
      <c r="M29" s="1043"/>
      <c r="N29" s="1700" t="str">
        <f>'Thong tin'!B8</f>
        <v>Hải Phòng, ngày 03 tháng 8 năm 2017</v>
      </c>
      <c r="O29" s="1700"/>
      <c r="P29" s="1700"/>
      <c r="Q29" s="1700"/>
      <c r="R29" s="1700"/>
      <c r="S29" s="1700"/>
      <c r="T29" s="1700"/>
      <c r="U29" s="1700"/>
    </row>
    <row r="30" spans="1:21" ht="21.75" customHeight="1">
      <c r="A30" s="937"/>
      <c r="B30" s="1735" t="s">
        <v>634</v>
      </c>
      <c r="C30" s="1735"/>
      <c r="D30" s="1735"/>
      <c r="E30" s="1735"/>
      <c r="F30" s="1735"/>
      <c r="G30" s="1044"/>
      <c r="H30" s="941"/>
      <c r="I30" s="941"/>
      <c r="J30" s="941"/>
      <c r="K30" s="941"/>
      <c r="L30" s="941"/>
      <c r="M30" s="1045"/>
      <c r="N30" s="1701" t="str">
        <f>'Thong tin'!B7</f>
        <v>
PHÓ CỤC TRƯỞNG</v>
      </c>
      <c r="O30" s="1702"/>
      <c r="P30" s="1702"/>
      <c r="Q30" s="1702"/>
      <c r="R30" s="1702"/>
      <c r="S30" s="1702"/>
      <c r="T30" s="1702"/>
      <c r="U30" s="1702"/>
    </row>
    <row r="31" spans="1:21" ht="18.75" customHeight="1">
      <c r="A31" s="1046"/>
      <c r="B31" s="1727"/>
      <c r="C31" s="1727"/>
      <c r="D31" s="1727"/>
      <c r="E31" s="1727"/>
      <c r="F31" s="1727"/>
      <c r="G31" s="1047"/>
      <c r="H31" s="1047"/>
      <c r="I31" s="1047"/>
      <c r="J31" s="1047"/>
      <c r="K31" s="1047"/>
      <c r="L31" s="1047"/>
      <c r="M31" s="1047"/>
      <c r="N31" s="1728"/>
      <c r="O31" s="1728"/>
      <c r="P31" s="1728"/>
      <c r="Q31" s="1728"/>
      <c r="R31" s="1728"/>
      <c r="S31" s="1728"/>
      <c r="T31" s="1728"/>
      <c r="U31" s="1728"/>
    </row>
    <row r="32" spans="2:21" ht="31.5" customHeight="1">
      <c r="B32" s="1729"/>
      <c r="C32" s="1729"/>
      <c r="D32" s="1729"/>
      <c r="E32" s="1729"/>
      <c r="F32" s="1729"/>
      <c r="G32" s="1045"/>
      <c r="H32" s="1045"/>
      <c r="I32" s="1045"/>
      <c r="J32" s="1045"/>
      <c r="K32" s="1045"/>
      <c r="L32" s="1045"/>
      <c r="M32" s="1045"/>
      <c r="N32" s="1045"/>
      <c r="O32" s="1045"/>
      <c r="P32" s="1729"/>
      <c r="Q32" s="1729"/>
      <c r="R32" s="1729"/>
      <c r="S32" s="1729"/>
      <c r="T32" s="1045"/>
      <c r="U32" s="1045"/>
    </row>
    <row r="33" spans="2:21" ht="18">
      <c r="B33" s="1045"/>
      <c r="C33" s="1045"/>
      <c r="D33" s="1045"/>
      <c r="E33" s="1045"/>
      <c r="F33" s="1045"/>
      <c r="G33" s="1045"/>
      <c r="H33" s="1045"/>
      <c r="I33" s="1045"/>
      <c r="J33" s="1045"/>
      <c r="K33" s="1045"/>
      <c r="L33" s="1045"/>
      <c r="M33" s="1045"/>
      <c r="N33" s="1045"/>
      <c r="O33" s="1045"/>
      <c r="P33" s="1045"/>
      <c r="Q33" s="1045"/>
      <c r="R33" s="1045"/>
      <c r="S33" s="1045"/>
      <c r="T33" s="1045"/>
      <c r="U33" s="1045"/>
    </row>
    <row r="34" spans="2:21" ht="18">
      <c r="B34" s="1045"/>
      <c r="C34" s="1045"/>
      <c r="D34" s="1045"/>
      <c r="E34" s="1045"/>
      <c r="F34" s="1045"/>
      <c r="G34" s="1045"/>
      <c r="H34" s="1045"/>
      <c r="I34" s="1045"/>
      <c r="J34" s="1045"/>
      <c r="K34" s="1045"/>
      <c r="L34" s="1045"/>
      <c r="M34" s="1045"/>
      <c r="N34" s="1045"/>
      <c r="O34" s="1045"/>
      <c r="P34" s="1045"/>
      <c r="Q34" s="1045"/>
      <c r="R34" s="1045"/>
      <c r="S34" s="1045"/>
      <c r="T34" s="1045"/>
      <c r="U34" s="1045"/>
    </row>
    <row r="35" spans="2:21" ht="18.75">
      <c r="B35" s="1734" t="str">
        <f>'Thong tin'!B5</f>
        <v>Trần Thị Minh</v>
      </c>
      <c r="C35" s="1734"/>
      <c r="D35" s="1734"/>
      <c r="E35" s="1734"/>
      <c r="F35" s="1734"/>
      <c r="G35" s="1734"/>
      <c r="H35" s="1048"/>
      <c r="I35" s="980"/>
      <c r="J35" s="980"/>
      <c r="K35" s="980"/>
      <c r="L35" s="980"/>
      <c r="M35" s="980"/>
      <c r="N35" s="1627" t="str">
        <f>'Thong tin'!B6</f>
        <v>Nguyễn Thị Mai Hoa</v>
      </c>
      <c r="O35" s="1627"/>
      <c r="P35" s="1627"/>
      <c r="Q35" s="1627"/>
      <c r="R35" s="1627"/>
      <c r="S35" s="1627"/>
      <c r="T35" s="1627"/>
      <c r="U35" s="1627"/>
    </row>
    <row r="36" ht="12.75" hidden="1"/>
    <row r="37" spans="1:20" ht="13.5" hidden="1">
      <c r="A37" s="1049" t="s">
        <v>226</v>
      </c>
      <c r="O37" s="1730"/>
      <c r="P37" s="1730"/>
      <c r="Q37" s="1730"/>
      <c r="R37" s="1730"/>
      <c r="S37" s="1730"/>
      <c r="T37" s="1730"/>
    </row>
    <row r="38" spans="2:14" ht="12.75" customHeight="1" hidden="1">
      <c r="B38" s="1726" t="s">
        <v>635</v>
      </c>
      <c r="C38" s="1726"/>
      <c r="D38" s="1726"/>
      <c r="E38" s="1726"/>
      <c r="F38" s="1726"/>
      <c r="G38" s="1726"/>
      <c r="H38" s="1726"/>
      <c r="I38" s="1726"/>
      <c r="J38" s="1726"/>
      <c r="K38" s="1726"/>
      <c r="L38" s="964"/>
      <c r="M38" s="964"/>
      <c r="N38" s="964"/>
    </row>
    <row r="39" spans="1:14" ht="12.75" customHeight="1" hidden="1">
      <c r="A39" s="964"/>
      <c r="B39" s="1050" t="s">
        <v>636</v>
      </c>
      <c r="C39" s="964"/>
      <c r="D39" s="964"/>
      <c r="E39" s="964"/>
      <c r="F39" s="964"/>
      <c r="G39" s="964"/>
      <c r="H39" s="964"/>
      <c r="I39" s="964"/>
      <c r="J39" s="964"/>
      <c r="K39" s="964"/>
      <c r="L39" s="964"/>
      <c r="M39" s="964"/>
      <c r="N39" s="964"/>
    </row>
    <row r="40" spans="2:14" ht="12.75" customHeight="1" hidden="1">
      <c r="B40" s="1015" t="s">
        <v>637</v>
      </c>
      <c r="C40" s="951"/>
      <c r="D40" s="951"/>
      <c r="E40" s="951"/>
      <c r="F40" s="951"/>
      <c r="G40" s="951"/>
      <c r="H40" s="951"/>
      <c r="I40" s="951"/>
      <c r="J40" s="951"/>
      <c r="K40" s="951"/>
      <c r="L40" s="951"/>
      <c r="M40" s="951"/>
      <c r="N40" s="951"/>
    </row>
  </sheetData>
  <sheetProtection/>
  <mergeCells count="42">
    <mergeCell ref="B29:G29"/>
    <mergeCell ref="N35:U35"/>
    <mergeCell ref="B35:G35"/>
    <mergeCell ref="B30:F30"/>
    <mergeCell ref="N30:U30"/>
    <mergeCell ref="L8:L9"/>
    <mergeCell ref="M8:O8"/>
    <mergeCell ref="T7:T9"/>
    <mergeCell ref="L7:O7"/>
    <mergeCell ref="C8:C9"/>
    <mergeCell ref="F3:N3"/>
    <mergeCell ref="P6:P9"/>
    <mergeCell ref="F6:H7"/>
    <mergeCell ref="I6:O6"/>
    <mergeCell ref="F8:F9"/>
    <mergeCell ref="J8:K8"/>
    <mergeCell ref="B38:K38"/>
    <mergeCell ref="B31:F31"/>
    <mergeCell ref="N31:U31"/>
    <mergeCell ref="B32:F32"/>
    <mergeCell ref="P32:S32"/>
    <mergeCell ref="O37:T37"/>
    <mergeCell ref="P1:U1"/>
    <mergeCell ref="N29:U29"/>
    <mergeCell ref="G8:H8"/>
    <mergeCell ref="Q7:Q9"/>
    <mergeCell ref="Q6:U6"/>
    <mergeCell ref="F1:N2"/>
    <mergeCell ref="U7:U9"/>
    <mergeCell ref="I8:I9"/>
    <mergeCell ref="S7:S9"/>
    <mergeCell ref="F5:O5"/>
    <mergeCell ref="A11:B11"/>
    <mergeCell ref="I7:K7"/>
    <mergeCell ref="R7:R9"/>
    <mergeCell ref="A2:D2"/>
    <mergeCell ref="A3:D3"/>
    <mergeCell ref="A5:B9"/>
    <mergeCell ref="C5:E7"/>
    <mergeCell ref="D8:E8"/>
    <mergeCell ref="P5:U5"/>
    <mergeCell ref="P2:U2"/>
  </mergeCells>
  <printOptions horizontalCentered="1"/>
  <pageMargins left="0.33" right="0.35" top="0.29" bottom="0.21" header="0.13" footer="0.15"/>
  <pageSetup horizontalDpi="600" verticalDpi="600" orientation="landscape" paperSize="9" scale="90" r:id="rId4"/>
  <ignoredErrors>
    <ignoredError sqref="C13:U13" formula="1"/>
  </ignoredErrors>
  <drawing r:id="rId3"/>
  <legacyDrawing r:id="rId2"/>
</worksheet>
</file>

<file path=xl/worksheets/sheet29.xml><?xml version="1.0" encoding="utf-8"?>
<worksheet xmlns="http://schemas.openxmlformats.org/spreadsheetml/2006/main" xmlns:r="http://schemas.openxmlformats.org/officeDocument/2006/relationships">
  <sheetPr>
    <tabColor indexed="57"/>
  </sheetPr>
  <dimension ref="A1:U42"/>
  <sheetViews>
    <sheetView showZeros="0" view="pageBreakPreview" zoomScaleSheetLayoutView="100" zoomScalePageLayoutView="0" workbookViewId="0" topLeftCell="A1">
      <selection activeCell="U8" sqref="U1:U16384"/>
    </sheetView>
  </sheetViews>
  <sheetFormatPr defaultColWidth="9.00390625" defaultRowHeight="15.75"/>
  <cols>
    <col min="1" max="1" width="3.625" style="571" customWidth="1"/>
    <col min="2" max="2" width="19.125" style="571" customWidth="1"/>
    <col min="3" max="3" width="8.125" style="571" customWidth="1"/>
    <col min="4" max="4" width="6.875" style="571" customWidth="1"/>
    <col min="5" max="8" width="5.00390625" style="571" customWidth="1"/>
    <col min="9" max="9" width="4.75390625" style="571" customWidth="1"/>
    <col min="10" max="10" width="5.00390625" style="571" customWidth="1"/>
    <col min="11" max="11" width="5.75390625" style="571" customWidth="1"/>
    <col min="12" max="12" width="5.375" style="571" customWidth="1"/>
    <col min="13" max="13" width="5.00390625" style="571" customWidth="1"/>
    <col min="14" max="14" width="5.375" style="571" customWidth="1"/>
    <col min="15" max="15" width="5.00390625" style="571" customWidth="1"/>
    <col min="16" max="16" width="5.75390625" style="571" customWidth="1"/>
    <col min="17" max="20" width="5.00390625" style="571" customWidth="1"/>
    <col min="21" max="16384" width="9.00390625" style="571" customWidth="1"/>
  </cols>
  <sheetData>
    <row r="1" spans="1:20" ht="16.5" customHeight="1">
      <c r="A1" s="1753" t="s">
        <v>229</v>
      </c>
      <c r="B1" s="1753"/>
      <c r="C1" s="556"/>
      <c r="D1" s="1748" t="s">
        <v>421</v>
      </c>
      <c r="E1" s="1749"/>
      <c r="F1" s="1749"/>
      <c r="G1" s="1749"/>
      <c r="H1" s="1749"/>
      <c r="I1" s="1749"/>
      <c r="J1" s="1749"/>
      <c r="K1" s="1749"/>
      <c r="L1" s="1749"/>
      <c r="M1" s="1749"/>
      <c r="N1" s="1749"/>
      <c r="O1" s="586"/>
      <c r="P1" s="617" t="s">
        <v>657</v>
      </c>
      <c r="Q1" s="564"/>
      <c r="R1" s="564"/>
      <c r="S1" s="564"/>
      <c r="T1" s="564"/>
    </row>
    <row r="2" spans="1:20" ht="16.5" customHeight="1">
      <c r="A2" s="1750" t="s">
        <v>344</v>
      </c>
      <c r="B2" s="1751"/>
      <c r="C2" s="1751"/>
      <c r="D2" s="1749"/>
      <c r="E2" s="1749"/>
      <c r="F2" s="1749"/>
      <c r="G2" s="1749"/>
      <c r="H2" s="1749"/>
      <c r="I2" s="1749"/>
      <c r="J2" s="1749"/>
      <c r="K2" s="1749"/>
      <c r="L2" s="1749"/>
      <c r="M2" s="1749"/>
      <c r="N2" s="1749"/>
      <c r="O2" s="586"/>
      <c r="P2" s="1752" t="str">
        <f>'Thong tin'!B4</f>
        <v>CTHADS Hải Phòng</v>
      </c>
      <c r="Q2" s="1752"/>
      <c r="R2" s="1752"/>
      <c r="S2" s="1752"/>
      <c r="T2" s="1752"/>
    </row>
    <row r="3" spans="1:20" ht="16.5" customHeight="1">
      <c r="A3" s="613" t="s">
        <v>673</v>
      </c>
      <c r="B3" s="550"/>
      <c r="C3" s="550"/>
      <c r="D3" s="1737" t="str">
        <f>'Thong tin'!B3</f>
        <v>10 tháng / năm 2017</v>
      </c>
      <c r="E3" s="1737"/>
      <c r="F3" s="1737"/>
      <c r="G3" s="1737"/>
      <c r="H3" s="1737"/>
      <c r="I3" s="1737"/>
      <c r="J3" s="1737"/>
      <c r="K3" s="1737"/>
      <c r="L3" s="1737"/>
      <c r="M3" s="1737"/>
      <c r="N3" s="1737"/>
      <c r="O3" s="586"/>
      <c r="P3" s="615" t="s">
        <v>470</v>
      </c>
      <c r="Q3" s="620"/>
      <c r="R3" s="620"/>
      <c r="S3" s="620"/>
      <c r="T3" s="620"/>
    </row>
    <row r="4" spans="1:20" ht="16.5" customHeight="1">
      <c r="A4" s="1754" t="s">
        <v>402</v>
      </c>
      <c r="B4" s="1754"/>
      <c r="C4" s="1754"/>
      <c r="D4" s="1736"/>
      <c r="E4" s="1736"/>
      <c r="F4" s="1736"/>
      <c r="G4" s="1736"/>
      <c r="H4" s="1736"/>
      <c r="I4" s="1736"/>
      <c r="J4" s="1736"/>
      <c r="K4" s="1736"/>
      <c r="L4" s="1736"/>
      <c r="M4" s="1736"/>
      <c r="N4" s="1736"/>
      <c r="O4" s="586"/>
      <c r="P4" s="616" t="s">
        <v>403</v>
      </c>
      <c r="Q4" s="620"/>
      <c r="R4" s="620"/>
      <c r="S4" s="620"/>
      <c r="T4" s="620"/>
    </row>
    <row r="5" spans="12:20" ht="16.5" customHeight="1">
      <c r="L5" s="587"/>
      <c r="M5" s="587"/>
      <c r="N5" s="587"/>
      <c r="O5" s="567"/>
      <c r="P5" s="566" t="s">
        <v>426</v>
      </c>
      <c r="Q5" s="567"/>
      <c r="R5" s="567"/>
      <c r="S5" s="567"/>
      <c r="T5" s="567"/>
    </row>
    <row r="6" spans="1:20" ht="24.75" customHeight="1">
      <c r="A6" s="1762" t="s">
        <v>72</v>
      </c>
      <c r="B6" s="1763"/>
      <c r="C6" s="1738" t="s">
        <v>230</v>
      </c>
      <c r="D6" s="1768" t="s">
        <v>231</v>
      </c>
      <c r="E6" s="1742"/>
      <c r="F6" s="1742"/>
      <c r="G6" s="1742"/>
      <c r="H6" s="1742"/>
      <c r="I6" s="1742"/>
      <c r="J6" s="1742"/>
      <c r="K6" s="1742"/>
      <c r="L6" s="1742"/>
      <c r="M6" s="1742"/>
      <c r="N6" s="1742"/>
      <c r="O6" s="1742"/>
      <c r="P6" s="1742"/>
      <c r="Q6" s="1742"/>
      <c r="R6" s="1742"/>
      <c r="S6" s="1742"/>
      <c r="T6" s="1738" t="s">
        <v>232</v>
      </c>
    </row>
    <row r="7" spans="1:20" s="589" customFormat="1" ht="24.75" customHeight="1">
      <c r="A7" s="1764"/>
      <c r="B7" s="1765"/>
      <c r="C7" s="1738"/>
      <c r="D7" s="1739" t="s">
        <v>227</v>
      </c>
      <c r="E7" s="1742" t="s">
        <v>7</v>
      </c>
      <c r="F7" s="1742"/>
      <c r="G7" s="1742"/>
      <c r="H7" s="1742"/>
      <c r="I7" s="1742"/>
      <c r="J7" s="1742"/>
      <c r="K7" s="1742"/>
      <c r="L7" s="1742"/>
      <c r="M7" s="1742"/>
      <c r="N7" s="1742"/>
      <c r="O7" s="1742"/>
      <c r="P7" s="1742"/>
      <c r="Q7" s="1742"/>
      <c r="R7" s="1742"/>
      <c r="S7" s="1742"/>
      <c r="T7" s="1738"/>
    </row>
    <row r="8" spans="1:20" s="589" customFormat="1" ht="24.75" customHeight="1">
      <c r="A8" s="1764"/>
      <c r="B8" s="1765"/>
      <c r="C8" s="1738"/>
      <c r="D8" s="1740"/>
      <c r="E8" s="1743" t="s">
        <v>233</v>
      </c>
      <c r="F8" s="1738"/>
      <c r="G8" s="1738"/>
      <c r="H8" s="1738" t="s">
        <v>234</v>
      </c>
      <c r="I8" s="1738"/>
      <c r="J8" s="1738"/>
      <c r="K8" s="1738" t="s">
        <v>235</v>
      </c>
      <c r="L8" s="1738"/>
      <c r="M8" s="1738" t="s">
        <v>236</v>
      </c>
      <c r="N8" s="1738"/>
      <c r="O8" s="1738"/>
      <c r="P8" s="1738" t="s">
        <v>237</v>
      </c>
      <c r="Q8" s="1738" t="s">
        <v>238</v>
      </c>
      <c r="R8" s="1738" t="s">
        <v>239</v>
      </c>
      <c r="S8" s="1769" t="s">
        <v>240</v>
      </c>
      <c r="T8" s="1738"/>
    </row>
    <row r="9" spans="1:20" s="589" customFormat="1" ht="24.75" customHeight="1">
      <c r="A9" s="1766"/>
      <c r="B9" s="1767"/>
      <c r="C9" s="1738"/>
      <c r="D9" s="1741"/>
      <c r="E9" s="590" t="s">
        <v>241</v>
      </c>
      <c r="F9" s="588" t="s">
        <v>242</v>
      </c>
      <c r="G9" s="588" t="s">
        <v>428</v>
      </c>
      <c r="H9" s="588" t="s">
        <v>243</v>
      </c>
      <c r="I9" s="588" t="s">
        <v>244</v>
      </c>
      <c r="J9" s="588" t="s">
        <v>245</v>
      </c>
      <c r="K9" s="588" t="s">
        <v>242</v>
      </c>
      <c r="L9" s="588" t="s">
        <v>246</v>
      </c>
      <c r="M9" s="588" t="s">
        <v>247</v>
      </c>
      <c r="N9" s="588" t="s">
        <v>248</v>
      </c>
      <c r="O9" s="588" t="s">
        <v>429</v>
      </c>
      <c r="P9" s="1738"/>
      <c r="Q9" s="1738"/>
      <c r="R9" s="1738"/>
      <c r="S9" s="1769"/>
      <c r="T9" s="1738"/>
    </row>
    <row r="10" spans="1:20" s="592" customFormat="1" ht="24.75" customHeight="1">
      <c r="A10" s="1744" t="s">
        <v>6</v>
      </c>
      <c r="B10" s="1745"/>
      <c r="C10" s="591">
        <v>1</v>
      </c>
      <c r="D10" s="591">
        <v>2</v>
      </c>
      <c r="E10" s="591">
        <v>3</v>
      </c>
      <c r="F10" s="591">
        <v>4</v>
      </c>
      <c r="G10" s="591">
        <v>5</v>
      </c>
      <c r="H10" s="591">
        <v>6</v>
      </c>
      <c r="I10" s="591">
        <v>7</v>
      </c>
      <c r="J10" s="591">
        <v>8</v>
      </c>
      <c r="K10" s="591">
        <v>9</v>
      </c>
      <c r="L10" s="591">
        <v>10</v>
      </c>
      <c r="M10" s="591">
        <v>11</v>
      </c>
      <c r="N10" s="591">
        <v>12</v>
      </c>
      <c r="O10" s="591">
        <v>13</v>
      </c>
      <c r="P10" s="591">
        <v>14</v>
      </c>
      <c r="Q10" s="591">
        <v>15</v>
      </c>
      <c r="R10" s="591">
        <v>16</v>
      </c>
      <c r="S10" s="591">
        <v>17</v>
      </c>
      <c r="T10" s="591">
        <v>18</v>
      </c>
    </row>
    <row r="11" spans="1:21" s="694" customFormat="1" ht="24.75" customHeight="1">
      <c r="A11" s="1746" t="s">
        <v>672</v>
      </c>
      <c r="B11" s="1747"/>
      <c r="C11" s="693">
        <f>C12+C13</f>
        <v>203</v>
      </c>
      <c r="D11" s="693">
        <f aca="true" t="shared" si="0" ref="D11:T11">D12+D13</f>
        <v>192</v>
      </c>
      <c r="E11" s="693">
        <f t="shared" si="0"/>
        <v>0</v>
      </c>
      <c r="F11" s="693">
        <f t="shared" si="0"/>
        <v>23</v>
      </c>
      <c r="G11" s="693">
        <f t="shared" si="0"/>
        <v>60</v>
      </c>
      <c r="H11" s="693">
        <f t="shared" si="0"/>
        <v>0</v>
      </c>
      <c r="I11" s="693">
        <f t="shared" si="0"/>
        <v>0</v>
      </c>
      <c r="J11" s="693">
        <f t="shared" si="0"/>
        <v>12</v>
      </c>
      <c r="K11" s="693">
        <f t="shared" si="0"/>
        <v>1</v>
      </c>
      <c r="L11" s="693">
        <f t="shared" si="0"/>
        <v>41</v>
      </c>
      <c r="M11" s="693">
        <f t="shared" si="0"/>
        <v>0</v>
      </c>
      <c r="N11" s="693">
        <f t="shared" si="0"/>
        <v>0</v>
      </c>
      <c r="O11" s="693">
        <f t="shared" si="0"/>
        <v>15</v>
      </c>
      <c r="P11" s="693">
        <f t="shared" si="0"/>
        <v>0</v>
      </c>
      <c r="Q11" s="693">
        <f t="shared" si="0"/>
        <v>25</v>
      </c>
      <c r="R11" s="693">
        <f t="shared" si="0"/>
        <v>1</v>
      </c>
      <c r="S11" s="693">
        <f t="shared" si="0"/>
        <v>14</v>
      </c>
      <c r="T11" s="693">
        <f t="shared" si="0"/>
        <v>11</v>
      </c>
      <c r="U11" s="907"/>
    </row>
    <row r="12" spans="1:20" s="694" customFormat="1" ht="24.75" customHeight="1">
      <c r="A12" s="688" t="s">
        <v>0</v>
      </c>
      <c r="B12" s="669" t="s">
        <v>786</v>
      </c>
      <c r="C12" s="693">
        <v>35</v>
      </c>
      <c r="D12" s="693">
        <f>SUM(E12:S12)</f>
        <v>34</v>
      </c>
      <c r="E12" s="695">
        <v>0</v>
      </c>
      <c r="F12" s="695">
        <v>11</v>
      </c>
      <c r="G12" s="695">
        <v>7</v>
      </c>
      <c r="H12" s="695">
        <v>0</v>
      </c>
      <c r="I12" s="695">
        <v>0</v>
      </c>
      <c r="J12" s="695">
        <v>3</v>
      </c>
      <c r="K12" s="695">
        <v>0</v>
      </c>
      <c r="L12" s="695">
        <v>5</v>
      </c>
      <c r="M12" s="695">
        <v>0</v>
      </c>
      <c r="N12" s="695">
        <v>0</v>
      </c>
      <c r="O12" s="695">
        <v>2</v>
      </c>
      <c r="P12" s="695">
        <v>0</v>
      </c>
      <c r="Q12" s="695">
        <v>3</v>
      </c>
      <c r="R12" s="695">
        <v>1</v>
      </c>
      <c r="S12" s="695">
        <v>2</v>
      </c>
      <c r="T12" s="695">
        <v>1</v>
      </c>
    </row>
    <row r="13" spans="1:20" s="694" customFormat="1" ht="24.75" customHeight="1">
      <c r="A13" s="690" t="s">
        <v>1</v>
      </c>
      <c r="B13" s="669" t="s">
        <v>19</v>
      </c>
      <c r="C13" s="693">
        <f>SUM(C14:C28)</f>
        <v>168</v>
      </c>
      <c r="D13" s="693">
        <f>SUM(D14:D28)</f>
        <v>158</v>
      </c>
      <c r="E13" s="693">
        <f aca="true" t="shared" si="1" ref="E13:S13">SUM(E14:E28)</f>
        <v>0</v>
      </c>
      <c r="F13" s="693">
        <f t="shared" si="1"/>
        <v>12</v>
      </c>
      <c r="G13" s="693">
        <f t="shared" si="1"/>
        <v>53</v>
      </c>
      <c r="H13" s="693">
        <f t="shared" si="1"/>
        <v>0</v>
      </c>
      <c r="I13" s="693">
        <f t="shared" si="1"/>
        <v>0</v>
      </c>
      <c r="J13" s="693">
        <f t="shared" si="1"/>
        <v>9</v>
      </c>
      <c r="K13" s="693">
        <f t="shared" si="1"/>
        <v>1</v>
      </c>
      <c r="L13" s="693">
        <f t="shared" si="1"/>
        <v>36</v>
      </c>
      <c r="M13" s="693">
        <f t="shared" si="1"/>
        <v>0</v>
      </c>
      <c r="N13" s="693">
        <f t="shared" si="1"/>
        <v>0</v>
      </c>
      <c r="O13" s="693">
        <f t="shared" si="1"/>
        <v>13</v>
      </c>
      <c r="P13" s="693">
        <f t="shared" si="1"/>
        <v>0</v>
      </c>
      <c r="Q13" s="693">
        <f t="shared" si="1"/>
        <v>22</v>
      </c>
      <c r="R13" s="693">
        <f t="shared" si="1"/>
        <v>0</v>
      </c>
      <c r="S13" s="693">
        <f t="shared" si="1"/>
        <v>12</v>
      </c>
      <c r="T13" s="695">
        <f>C13-D13</f>
        <v>10</v>
      </c>
    </row>
    <row r="14" spans="1:20" s="694" customFormat="1" ht="24.75" customHeight="1">
      <c r="A14" s="691">
        <v>1</v>
      </c>
      <c r="B14" s="696" t="s">
        <v>732</v>
      </c>
      <c r="C14" s="697">
        <v>16</v>
      </c>
      <c r="D14" s="695">
        <f aca="true" t="shared" si="2" ref="D14:D28">SUM(E14:S14)</f>
        <v>15</v>
      </c>
      <c r="E14" s="698"/>
      <c r="F14" s="699">
        <v>1</v>
      </c>
      <c r="G14" s="699">
        <v>5</v>
      </c>
      <c r="H14" s="698"/>
      <c r="I14" s="698"/>
      <c r="J14" s="699">
        <v>2</v>
      </c>
      <c r="K14" s="698"/>
      <c r="L14" s="699">
        <v>4</v>
      </c>
      <c r="M14" s="698"/>
      <c r="N14" s="698"/>
      <c r="O14" s="699"/>
      <c r="P14" s="698"/>
      <c r="Q14" s="699">
        <v>2</v>
      </c>
      <c r="R14" s="698"/>
      <c r="S14" s="699">
        <v>1</v>
      </c>
      <c r="T14" s="695">
        <f>C14-D14</f>
        <v>1</v>
      </c>
    </row>
    <row r="15" spans="1:20" s="694" customFormat="1" ht="24.75" customHeight="1">
      <c r="A15" s="691">
        <v>2</v>
      </c>
      <c r="B15" s="696" t="s">
        <v>806</v>
      </c>
      <c r="C15" s="697">
        <v>18</v>
      </c>
      <c r="D15" s="695">
        <f t="shared" si="2"/>
        <v>17</v>
      </c>
      <c r="E15" s="698"/>
      <c r="F15" s="699">
        <v>1</v>
      </c>
      <c r="G15" s="699">
        <v>6</v>
      </c>
      <c r="H15" s="698"/>
      <c r="I15" s="698"/>
      <c r="J15" s="699">
        <v>1</v>
      </c>
      <c r="K15" s="699"/>
      <c r="L15" s="699">
        <v>3</v>
      </c>
      <c r="M15" s="698"/>
      <c r="N15" s="698"/>
      <c r="O15" s="699">
        <v>3</v>
      </c>
      <c r="P15" s="698"/>
      <c r="Q15" s="699">
        <v>2</v>
      </c>
      <c r="R15" s="698"/>
      <c r="S15" s="699">
        <v>1</v>
      </c>
      <c r="T15" s="695">
        <f aca="true" t="shared" si="3" ref="T15:T28">C15-D15</f>
        <v>1</v>
      </c>
    </row>
    <row r="16" spans="1:20" s="694" customFormat="1" ht="24.75" customHeight="1">
      <c r="A16" s="691">
        <v>3</v>
      </c>
      <c r="B16" s="696" t="s">
        <v>751</v>
      </c>
      <c r="C16" s="697">
        <f>17</f>
        <v>17</v>
      </c>
      <c r="D16" s="695">
        <f t="shared" si="2"/>
        <v>17</v>
      </c>
      <c r="E16" s="698"/>
      <c r="F16" s="699">
        <v>0</v>
      </c>
      <c r="G16" s="699">
        <v>9</v>
      </c>
      <c r="H16" s="698"/>
      <c r="I16" s="698"/>
      <c r="J16" s="699">
        <v>1</v>
      </c>
      <c r="K16" s="698"/>
      <c r="L16" s="699">
        <v>2</v>
      </c>
      <c r="M16" s="698"/>
      <c r="N16" s="698"/>
      <c r="O16" s="699">
        <v>2</v>
      </c>
      <c r="P16" s="698"/>
      <c r="Q16" s="699">
        <v>2</v>
      </c>
      <c r="R16" s="698"/>
      <c r="S16" s="699">
        <v>1</v>
      </c>
      <c r="T16" s="695">
        <f t="shared" si="3"/>
        <v>0</v>
      </c>
    </row>
    <row r="17" spans="1:20" s="694" customFormat="1" ht="24.75" customHeight="1">
      <c r="A17" s="691">
        <v>4</v>
      </c>
      <c r="B17" s="696" t="s">
        <v>807</v>
      </c>
      <c r="C17" s="697">
        <v>11</v>
      </c>
      <c r="D17" s="695">
        <f t="shared" si="2"/>
        <v>10</v>
      </c>
      <c r="E17" s="698"/>
      <c r="F17" s="698"/>
      <c r="G17" s="699">
        <v>5</v>
      </c>
      <c r="H17" s="698"/>
      <c r="I17" s="698"/>
      <c r="J17" s="698"/>
      <c r="K17" s="698"/>
      <c r="L17" s="699"/>
      <c r="M17" s="698"/>
      <c r="N17" s="698"/>
      <c r="O17" s="699">
        <v>2</v>
      </c>
      <c r="P17" s="698"/>
      <c r="Q17" s="699">
        <v>2</v>
      </c>
      <c r="R17" s="698"/>
      <c r="S17" s="699">
        <v>1</v>
      </c>
      <c r="T17" s="695">
        <f t="shared" si="3"/>
        <v>1</v>
      </c>
    </row>
    <row r="18" spans="1:20" s="694" customFormat="1" ht="24.75" customHeight="1">
      <c r="A18" s="691">
        <v>5</v>
      </c>
      <c r="B18" s="696" t="s">
        <v>808</v>
      </c>
      <c r="C18" s="697">
        <v>8</v>
      </c>
      <c r="D18" s="695">
        <f t="shared" si="2"/>
        <v>6</v>
      </c>
      <c r="E18" s="698"/>
      <c r="F18" s="699">
        <v>1</v>
      </c>
      <c r="G18" s="699">
        <v>3</v>
      </c>
      <c r="H18" s="698"/>
      <c r="I18" s="698"/>
      <c r="J18" s="698"/>
      <c r="K18" s="699">
        <v>1</v>
      </c>
      <c r="L18" s="698"/>
      <c r="M18" s="698"/>
      <c r="N18" s="698"/>
      <c r="O18" s="698"/>
      <c r="P18" s="698"/>
      <c r="Q18" s="699">
        <v>1</v>
      </c>
      <c r="R18" s="698"/>
      <c r="S18" s="699"/>
      <c r="T18" s="695">
        <f t="shared" si="3"/>
        <v>2</v>
      </c>
    </row>
    <row r="19" spans="1:20" s="906" customFormat="1" ht="24.75" customHeight="1">
      <c r="A19" s="900">
        <v>6</v>
      </c>
      <c r="B19" s="901" t="s">
        <v>809</v>
      </c>
      <c r="C19" s="902">
        <v>10</v>
      </c>
      <c r="D19" s="903">
        <f t="shared" si="2"/>
        <v>9</v>
      </c>
      <c r="E19" s="904"/>
      <c r="F19" s="905">
        <v>1</v>
      </c>
      <c r="G19" s="905">
        <v>2</v>
      </c>
      <c r="H19" s="904"/>
      <c r="I19" s="904"/>
      <c r="J19" s="904"/>
      <c r="K19" s="904"/>
      <c r="L19" s="905">
        <v>3</v>
      </c>
      <c r="M19" s="904"/>
      <c r="N19" s="904"/>
      <c r="O19" s="905">
        <v>1</v>
      </c>
      <c r="P19" s="904"/>
      <c r="Q19" s="905">
        <v>1</v>
      </c>
      <c r="R19" s="904"/>
      <c r="S19" s="905">
        <v>1</v>
      </c>
      <c r="T19" s="903">
        <f t="shared" si="3"/>
        <v>1</v>
      </c>
    </row>
    <row r="20" spans="1:20" s="694" customFormat="1" ht="24.75" customHeight="1">
      <c r="A20" s="691">
        <v>7</v>
      </c>
      <c r="B20" s="696" t="s">
        <v>709</v>
      </c>
      <c r="C20" s="697">
        <f>8</f>
        <v>8</v>
      </c>
      <c r="D20" s="695">
        <f t="shared" si="2"/>
        <v>8</v>
      </c>
      <c r="E20" s="698"/>
      <c r="F20" s="699">
        <v>1</v>
      </c>
      <c r="G20" s="699">
        <v>2</v>
      </c>
      <c r="H20" s="698"/>
      <c r="I20" s="698"/>
      <c r="J20" s="699">
        <v>1</v>
      </c>
      <c r="K20" s="698"/>
      <c r="L20" s="699">
        <v>2</v>
      </c>
      <c r="M20" s="698"/>
      <c r="N20" s="698"/>
      <c r="O20" s="699"/>
      <c r="P20" s="698"/>
      <c r="Q20" s="699">
        <v>1</v>
      </c>
      <c r="R20" s="698"/>
      <c r="S20" s="699">
        <v>1</v>
      </c>
      <c r="T20" s="695">
        <f t="shared" si="3"/>
        <v>0</v>
      </c>
    </row>
    <row r="21" spans="1:20" s="694" customFormat="1" ht="24.75" customHeight="1">
      <c r="A21" s="691">
        <v>8</v>
      </c>
      <c r="B21" s="696" t="s">
        <v>810</v>
      </c>
      <c r="C21" s="697">
        <f>14</f>
        <v>14</v>
      </c>
      <c r="D21" s="695">
        <f t="shared" si="2"/>
        <v>13</v>
      </c>
      <c r="E21" s="698"/>
      <c r="F21" s="699">
        <v>1</v>
      </c>
      <c r="G21" s="699">
        <v>4</v>
      </c>
      <c r="H21" s="698"/>
      <c r="I21" s="698"/>
      <c r="J21" s="698"/>
      <c r="K21" s="699"/>
      <c r="L21" s="699">
        <v>5</v>
      </c>
      <c r="M21" s="698"/>
      <c r="N21" s="698"/>
      <c r="O21" s="699"/>
      <c r="P21" s="698"/>
      <c r="Q21" s="699">
        <v>2</v>
      </c>
      <c r="R21" s="698"/>
      <c r="S21" s="699">
        <v>1</v>
      </c>
      <c r="T21" s="695">
        <f t="shared" si="3"/>
        <v>1</v>
      </c>
    </row>
    <row r="22" spans="1:20" s="694" customFormat="1" ht="24.75" customHeight="1">
      <c r="A22" s="691">
        <v>9</v>
      </c>
      <c r="B22" s="696" t="s">
        <v>811</v>
      </c>
      <c r="C22" s="697">
        <v>8</v>
      </c>
      <c r="D22" s="695">
        <f t="shared" si="2"/>
        <v>8</v>
      </c>
      <c r="E22" s="698"/>
      <c r="F22" s="699">
        <v>1</v>
      </c>
      <c r="G22" s="699">
        <v>3</v>
      </c>
      <c r="H22" s="698"/>
      <c r="I22" s="698"/>
      <c r="J22" s="699">
        <v>1</v>
      </c>
      <c r="K22" s="698"/>
      <c r="L22" s="699">
        <v>1</v>
      </c>
      <c r="M22" s="698"/>
      <c r="N22" s="698"/>
      <c r="O22" s="699"/>
      <c r="P22" s="698"/>
      <c r="Q22" s="699">
        <v>1</v>
      </c>
      <c r="R22" s="698"/>
      <c r="S22" s="699">
        <v>1</v>
      </c>
      <c r="T22" s="695">
        <f t="shared" si="3"/>
        <v>0</v>
      </c>
    </row>
    <row r="23" spans="1:20" s="694" customFormat="1" ht="24.75" customHeight="1">
      <c r="A23" s="691">
        <v>10</v>
      </c>
      <c r="B23" s="696" t="s">
        <v>812</v>
      </c>
      <c r="C23" s="697">
        <v>10</v>
      </c>
      <c r="D23" s="695">
        <f t="shared" si="2"/>
        <v>10</v>
      </c>
      <c r="E23" s="698"/>
      <c r="F23" s="699">
        <v>1</v>
      </c>
      <c r="G23" s="699">
        <v>1</v>
      </c>
      <c r="H23" s="698"/>
      <c r="I23" s="698"/>
      <c r="J23" s="699">
        <v>0</v>
      </c>
      <c r="K23" s="698"/>
      <c r="L23" s="699">
        <v>4</v>
      </c>
      <c r="M23" s="698"/>
      <c r="N23" s="698"/>
      <c r="O23" s="699">
        <v>1</v>
      </c>
      <c r="P23" s="698"/>
      <c r="Q23" s="699">
        <v>2</v>
      </c>
      <c r="R23" s="698"/>
      <c r="S23" s="699">
        <v>1</v>
      </c>
      <c r="T23" s="695">
        <f t="shared" si="3"/>
        <v>0</v>
      </c>
    </row>
    <row r="24" spans="1:20" s="694" customFormat="1" ht="24.75" customHeight="1">
      <c r="A24" s="691">
        <v>11</v>
      </c>
      <c r="B24" s="696" t="s">
        <v>813</v>
      </c>
      <c r="C24" s="697">
        <v>8</v>
      </c>
      <c r="D24" s="695">
        <f t="shared" si="2"/>
        <v>8</v>
      </c>
      <c r="E24" s="698"/>
      <c r="F24" s="699">
        <v>2</v>
      </c>
      <c r="G24" s="699"/>
      <c r="H24" s="698"/>
      <c r="I24" s="698"/>
      <c r="J24" s="699">
        <v>1</v>
      </c>
      <c r="K24" s="698"/>
      <c r="L24" s="699">
        <v>3</v>
      </c>
      <c r="M24" s="698"/>
      <c r="N24" s="698"/>
      <c r="O24" s="699"/>
      <c r="P24" s="698"/>
      <c r="Q24" s="699">
        <v>1</v>
      </c>
      <c r="R24" s="698"/>
      <c r="S24" s="699">
        <v>1</v>
      </c>
      <c r="T24" s="695">
        <f t="shared" si="3"/>
        <v>0</v>
      </c>
    </row>
    <row r="25" spans="1:20" s="694" customFormat="1" ht="24.75" customHeight="1">
      <c r="A25" s="691">
        <v>12</v>
      </c>
      <c r="B25" s="696" t="s">
        <v>814</v>
      </c>
      <c r="C25" s="697">
        <v>22</v>
      </c>
      <c r="D25" s="695">
        <f t="shared" si="2"/>
        <v>21</v>
      </c>
      <c r="E25" s="698"/>
      <c r="F25" s="698"/>
      <c r="G25" s="699">
        <v>8</v>
      </c>
      <c r="H25" s="698"/>
      <c r="I25" s="698"/>
      <c r="J25" s="699">
        <v>1</v>
      </c>
      <c r="K25" s="699"/>
      <c r="L25" s="699">
        <v>5</v>
      </c>
      <c r="M25" s="698"/>
      <c r="N25" s="698"/>
      <c r="O25" s="699">
        <v>4</v>
      </c>
      <c r="P25" s="698"/>
      <c r="Q25" s="699">
        <v>2</v>
      </c>
      <c r="R25" s="698"/>
      <c r="S25" s="699">
        <v>1</v>
      </c>
      <c r="T25" s="695">
        <f t="shared" si="3"/>
        <v>1</v>
      </c>
    </row>
    <row r="26" spans="1:20" s="694" customFormat="1" ht="24.75" customHeight="1">
      <c r="A26" s="691">
        <v>13</v>
      </c>
      <c r="B26" s="696" t="s">
        <v>815</v>
      </c>
      <c r="C26" s="697">
        <v>8</v>
      </c>
      <c r="D26" s="695">
        <f t="shared" si="2"/>
        <v>8</v>
      </c>
      <c r="E26" s="698"/>
      <c r="F26" s="698"/>
      <c r="G26" s="699">
        <v>4</v>
      </c>
      <c r="H26" s="698"/>
      <c r="I26" s="698"/>
      <c r="J26" s="698"/>
      <c r="K26" s="698"/>
      <c r="L26" s="699">
        <v>3</v>
      </c>
      <c r="M26" s="698"/>
      <c r="N26" s="698"/>
      <c r="O26" s="699"/>
      <c r="P26" s="698"/>
      <c r="Q26" s="699">
        <v>1</v>
      </c>
      <c r="R26" s="698"/>
      <c r="S26" s="698"/>
      <c r="T26" s="695">
        <f t="shared" si="3"/>
        <v>0</v>
      </c>
    </row>
    <row r="27" spans="1:20" s="694" customFormat="1" ht="24.75" customHeight="1">
      <c r="A27" s="691">
        <v>14</v>
      </c>
      <c r="B27" s="696" t="s">
        <v>816</v>
      </c>
      <c r="C27" s="697">
        <v>6</v>
      </c>
      <c r="D27" s="695">
        <f t="shared" si="2"/>
        <v>5</v>
      </c>
      <c r="E27" s="698"/>
      <c r="F27" s="699">
        <v>1</v>
      </c>
      <c r="G27" s="699">
        <v>1</v>
      </c>
      <c r="H27" s="698"/>
      <c r="I27" s="698"/>
      <c r="J27" s="699">
        <v>1</v>
      </c>
      <c r="K27" s="698"/>
      <c r="L27" s="699"/>
      <c r="M27" s="698"/>
      <c r="N27" s="698"/>
      <c r="O27" s="698"/>
      <c r="P27" s="698"/>
      <c r="Q27" s="699">
        <v>1</v>
      </c>
      <c r="R27" s="698"/>
      <c r="S27" s="699">
        <v>1</v>
      </c>
      <c r="T27" s="695">
        <f t="shared" si="3"/>
        <v>1</v>
      </c>
    </row>
    <row r="28" spans="1:20" s="694" customFormat="1" ht="24.75" customHeight="1">
      <c r="A28" s="691">
        <v>15</v>
      </c>
      <c r="B28" s="696" t="s">
        <v>817</v>
      </c>
      <c r="C28" s="697">
        <f>4</f>
        <v>4</v>
      </c>
      <c r="D28" s="695">
        <f t="shared" si="2"/>
        <v>3</v>
      </c>
      <c r="E28" s="698"/>
      <c r="F28" s="699">
        <v>1</v>
      </c>
      <c r="G28" s="699"/>
      <c r="H28" s="698"/>
      <c r="I28" s="698"/>
      <c r="J28" s="698"/>
      <c r="K28" s="698"/>
      <c r="L28" s="699">
        <v>1</v>
      </c>
      <c r="M28" s="698"/>
      <c r="N28" s="698"/>
      <c r="O28" s="698"/>
      <c r="P28" s="698"/>
      <c r="Q28" s="699">
        <v>1</v>
      </c>
      <c r="R28" s="698"/>
      <c r="S28" s="698"/>
      <c r="T28" s="695">
        <f t="shared" si="3"/>
        <v>1</v>
      </c>
    </row>
    <row r="29" ht="6" customHeight="1"/>
    <row r="30" spans="1:20" s="565" customFormat="1" ht="15.75" customHeight="1">
      <c r="A30" s="593"/>
      <c r="B30" s="1760"/>
      <c r="C30" s="1760"/>
      <c r="D30" s="1760"/>
      <c r="E30" s="1760"/>
      <c r="F30" s="568"/>
      <c r="G30" s="568"/>
      <c r="H30" s="568"/>
      <c r="I30" s="568"/>
      <c r="J30" s="568"/>
      <c r="K30" s="568" t="s">
        <v>249</v>
      </c>
      <c r="L30" s="569"/>
      <c r="M30" s="1761" t="str">
        <f>'Thong tin'!B8</f>
        <v>Hải Phòng, ngày 03 tháng 8 năm 2017</v>
      </c>
      <c r="N30" s="1761"/>
      <c r="O30" s="1761"/>
      <c r="P30" s="1761"/>
      <c r="Q30" s="1761"/>
      <c r="R30" s="1761"/>
      <c r="S30" s="1761"/>
      <c r="T30" s="1761"/>
    </row>
    <row r="31" spans="1:20" s="565" customFormat="1" ht="18.75" customHeight="1">
      <c r="A31" s="593"/>
      <c r="B31" s="1755" t="s">
        <v>250</v>
      </c>
      <c r="C31" s="1755"/>
      <c r="D31" s="1755"/>
      <c r="E31" s="594"/>
      <c r="F31" s="570"/>
      <c r="G31" s="570"/>
      <c r="H31" s="570"/>
      <c r="I31" s="570"/>
      <c r="J31" s="570"/>
      <c r="K31" s="570"/>
      <c r="L31" s="569"/>
      <c r="M31" s="1756" t="str">
        <f>'Thong tin'!B7</f>
        <v>
PHÓ CỤC TRƯỞNG</v>
      </c>
      <c r="N31" s="1756"/>
      <c r="O31" s="1756"/>
      <c r="P31" s="1756"/>
      <c r="Q31" s="1756"/>
      <c r="R31" s="1756"/>
      <c r="S31" s="1756"/>
      <c r="T31" s="1756"/>
    </row>
    <row r="32" spans="1:20" s="565" customFormat="1" ht="18.75">
      <c r="A32" s="571"/>
      <c r="B32" s="1757"/>
      <c r="C32" s="1757"/>
      <c r="D32" s="1757"/>
      <c r="E32" s="572"/>
      <c r="F32" s="572"/>
      <c r="G32" s="572"/>
      <c r="H32" s="572"/>
      <c r="I32" s="572"/>
      <c r="J32" s="572"/>
      <c r="K32" s="572"/>
      <c r="L32" s="572"/>
      <c r="M32" s="1756"/>
      <c r="N32" s="1756"/>
      <c r="O32" s="1756"/>
      <c r="P32" s="1756"/>
      <c r="Q32" s="1756"/>
      <c r="R32" s="1756"/>
      <c r="S32" s="1756"/>
      <c r="T32" s="1756"/>
    </row>
    <row r="33" spans="1:20" s="565" customFormat="1" ht="18.75">
      <c r="A33" s="571"/>
      <c r="B33" s="572"/>
      <c r="C33" s="572"/>
      <c r="D33" s="572"/>
      <c r="E33" s="572"/>
      <c r="F33" s="572"/>
      <c r="G33" s="572"/>
      <c r="H33" s="572"/>
      <c r="I33" s="572"/>
      <c r="J33" s="572"/>
      <c r="K33" s="572"/>
      <c r="L33" s="572"/>
      <c r="M33" s="619"/>
      <c r="N33" s="619"/>
      <c r="O33" s="619"/>
      <c r="P33" s="619"/>
      <c r="Q33" s="618"/>
      <c r="R33" s="618"/>
      <c r="S33" s="618"/>
      <c r="T33" s="618"/>
    </row>
    <row r="34" spans="2:20" ht="13.5" customHeight="1" hidden="1">
      <c r="B34" s="572"/>
      <c r="C34" s="572"/>
      <c r="D34" s="572"/>
      <c r="E34" s="572"/>
      <c r="F34" s="572"/>
      <c r="G34" s="572"/>
      <c r="H34" s="572"/>
      <c r="I34" s="572"/>
      <c r="J34" s="572"/>
      <c r="K34" s="572"/>
      <c r="L34" s="572"/>
      <c r="M34" s="619"/>
      <c r="N34" s="619"/>
      <c r="O34" s="619"/>
      <c r="P34" s="619"/>
      <c r="Q34" s="619"/>
      <c r="R34" s="619"/>
      <c r="S34" s="619"/>
      <c r="T34" s="619"/>
    </row>
    <row r="35" spans="1:20" ht="18.75" hidden="1">
      <c r="A35" s="595" t="s">
        <v>252</v>
      </c>
      <c r="B35" s="572"/>
      <c r="C35" s="572"/>
      <c r="D35" s="572"/>
      <c r="E35" s="572"/>
      <c r="F35" s="572"/>
      <c r="G35" s="572"/>
      <c r="H35" s="572"/>
      <c r="I35" s="572"/>
      <c r="J35" s="572"/>
      <c r="K35" s="572"/>
      <c r="L35" s="572"/>
      <c r="M35" s="619"/>
      <c r="N35" s="619"/>
      <c r="O35" s="619"/>
      <c r="P35" s="619"/>
      <c r="Q35" s="619"/>
      <c r="R35" s="619"/>
      <c r="S35" s="619"/>
      <c r="T35" s="619"/>
    </row>
    <row r="36" spans="2:20" ht="18.75" hidden="1">
      <c r="B36" s="596" t="s">
        <v>253</v>
      </c>
      <c r="C36" s="572"/>
      <c r="D36" s="572"/>
      <c r="E36" s="572"/>
      <c r="F36" s="572"/>
      <c r="G36" s="572"/>
      <c r="H36" s="572"/>
      <c r="I36" s="572"/>
      <c r="J36" s="572"/>
      <c r="K36" s="572"/>
      <c r="L36" s="572"/>
      <c r="M36" s="619"/>
      <c r="N36" s="619"/>
      <c r="O36" s="619"/>
      <c r="P36" s="619"/>
      <c r="Q36" s="619"/>
      <c r="R36" s="619"/>
      <c r="S36" s="619"/>
      <c r="T36" s="619"/>
    </row>
    <row r="37" spans="2:20" ht="18.75" hidden="1">
      <c r="B37" s="596" t="s">
        <v>254</v>
      </c>
      <c r="C37" s="572"/>
      <c r="D37" s="572"/>
      <c r="E37" s="572"/>
      <c r="F37" s="572"/>
      <c r="G37" s="572"/>
      <c r="H37" s="572"/>
      <c r="I37" s="572"/>
      <c r="J37" s="572"/>
      <c r="K37" s="572"/>
      <c r="L37" s="572"/>
      <c r="M37" s="619"/>
      <c r="N37" s="619"/>
      <c r="O37" s="619"/>
      <c r="P37" s="619"/>
      <c r="Q37" s="619"/>
      <c r="R37" s="619"/>
      <c r="S37" s="619"/>
      <c r="T37" s="619"/>
    </row>
    <row r="38" spans="2:20" s="585" customFormat="1" ht="18.75">
      <c r="B38" s="1758"/>
      <c r="C38" s="1758"/>
      <c r="D38" s="1758"/>
      <c r="E38" s="596"/>
      <c r="F38" s="596"/>
      <c r="G38" s="596"/>
      <c r="H38" s="596"/>
      <c r="I38" s="596"/>
      <c r="J38" s="596"/>
      <c r="K38" s="596"/>
      <c r="L38" s="596"/>
      <c r="M38" s="621"/>
      <c r="N38" s="1759"/>
      <c r="O38" s="1759"/>
      <c r="P38" s="1759"/>
      <c r="Q38" s="1759"/>
      <c r="R38" s="1759"/>
      <c r="S38" s="1759"/>
      <c r="T38" s="621"/>
    </row>
    <row r="39" spans="2:20" ht="18.75">
      <c r="B39" s="572"/>
      <c r="C39" s="572"/>
      <c r="D39" s="572"/>
      <c r="E39" s="572"/>
      <c r="F39" s="572"/>
      <c r="G39" s="572"/>
      <c r="H39" s="572"/>
      <c r="I39" s="572"/>
      <c r="J39" s="572"/>
      <c r="K39" s="572"/>
      <c r="L39" s="572"/>
      <c r="M39" s="619"/>
      <c r="N39" s="619"/>
      <c r="O39" s="619"/>
      <c r="P39" s="619"/>
      <c r="Q39" s="619"/>
      <c r="R39" s="619"/>
      <c r="S39" s="619"/>
      <c r="T39" s="619"/>
    </row>
    <row r="40" spans="2:20" ht="18.75">
      <c r="B40" s="1684" t="str">
        <f>'Thong tin'!B5</f>
        <v>Trần Thị Minh</v>
      </c>
      <c r="C40" s="1684"/>
      <c r="D40" s="1684"/>
      <c r="E40" s="584"/>
      <c r="F40" s="584"/>
      <c r="G40" s="584"/>
      <c r="H40" s="584"/>
      <c r="I40" s="569"/>
      <c r="J40" s="569"/>
      <c r="K40" s="569"/>
      <c r="L40" s="569"/>
      <c r="M40" s="1683" t="str">
        <f>'Thong tin'!B6</f>
        <v>Nguyễn Thị Mai Hoa</v>
      </c>
      <c r="N40" s="1683"/>
      <c r="O40" s="1683"/>
      <c r="P40" s="1683"/>
      <c r="Q40" s="1683"/>
      <c r="R40" s="1683"/>
      <c r="S40" s="1683"/>
      <c r="T40" s="1683"/>
    </row>
    <row r="41" spans="2:20" ht="18.75">
      <c r="B41" s="572"/>
      <c r="C41" s="572"/>
      <c r="D41" s="572"/>
      <c r="E41" s="572"/>
      <c r="F41" s="572"/>
      <c r="G41" s="572"/>
      <c r="H41" s="572"/>
      <c r="I41" s="572"/>
      <c r="J41" s="572"/>
      <c r="K41" s="572"/>
      <c r="L41" s="572"/>
      <c r="M41" s="572"/>
      <c r="N41" s="572"/>
      <c r="O41" s="572"/>
      <c r="P41" s="572"/>
      <c r="Q41" s="572"/>
      <c r="R41" s="572"/>
      <c r="S41" s="572"/>
      <c r="T41" s="572"/>
    </row>
    <row r="42" spans="2:20" ht="18.75">
      <c r="B42" s="572"/>
      <c r="C42" s="572"/>
      <c r="D42" s="572"/>
      <c r="E42" s="572"/>
      <c r="F42" s="572"/>
      <c r="G42" s="572"/>
      <c r="H42" s="572"/>
      <c r="I42" s="572"/>
      <c r="J42" s="572"/>
      <c r="K42" s="572"/>
      <c r="L42" s="572"/>
      <c r="M42" s="572"/>
      <c r="N42" s="572"/>
      <c r="O42" s="572"/>
      <c r="P42" s="572"/>
      <c r="Q42" s="572"/>
      <c r="R42" s="572"/>
      <c r="S42" s="572"/>
      <c r="T42" s="572"/>
    </row>
  </sheetData>
  <sheetProtection/>
  <mergeCells count="33">
    <mergeCell ref="B30:E30"/>
    <mergeCell ref="M30:T30"/>
    <mergeCell ref="K8:L8"/>
    <mergeCell ref="M8:O8"/>
    <mergeCell ref="P8:P9"/>
    <mergeCell ref="A6:B9"/>
    <mergeCell ref="C6:C9"/>
    <mergeCell ref="D6:S6"/>
    <mergeCell ref="S8:S9"/>
    <mergeCell ref="B40:D40"/>
    <mergeCell ref="M40:T40"/>
    <mergeCell ref="B31:D31"/>
    <mergeCell ref="M31:T31"/>
    <mergeCell ref="B32:D32"/>
    <mergeCell ref="M32:T32"/>
    <mergeCell ref="B38:D38"/>
    <mergeCell ref="N38:S38"/>
    <mergeCell ref="A10:B10"/>
    <mergeCell ref="A11:B11"/>
    <mergeCell ref="D1:N2"/>
    <mergeCell ref="A2:C2"/>
    <mergeCell ref="P2:T2"/>
    <mergeCell ref="Q8:Q9"/>
    <mergeCell ref="R8:R9"/>
    <mergeCell ref="A1:B1"/>
    <mergeCell ref="A4:C4"/>
    <mergeCell ref="D4:N4"/>
    <mergeCell ref="D3:N3"/>
    <mergeCell ref="T6:T9"/>
    <mergeCell ref="D7:D9"/>
    <mergeCell ref="E7:S7"/>
    <mergeCell ref="E8:G8"/>
    <mergeCell ref="H8:J8"/>
  </mergeCells>
  <printOptions horizontalCentered="1"/>
  <pageMargins left="0.53" right="0.44" top="0.25" bottom="0" header="0.22" footer="0.35"/>
  <pageSetup horizontalDpi="600" verticalDpi="600" orientation="landscape" paperSize="9" r:id="rId1"/>
  <ignoredErrors>
    <ignoredError sqref="D12 D15:D28" formulaRange="1"/>
    <ignoredError sqref="D13" formula="1" formulaRange="1"/>
  </ignoredErrors>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82" customWidth="1"/>
    <col min="2" max="2" width="21.125" style="82" customWidth="1"/>
    <col min="3" max="3" width="10.25390625" style="82" customWidth="1"/>
    <col min="4" max="6" width="7.875" style="82" customWidth="1"/>
    <col min="7" max="7" width="9.25390625" style="82" customWidth="1"/>
    <col min="8" max="8" width="7.25390625" style="82" customWidth="1"/>
    <col min="9" max="10" width="7.875" style="82" customWidth="1"/>
    <col min="11" max="11" width="7.125" style="82" customWidth="1"/>
    <col min="12" max="12" width="7.00390625" style="82" customWidth="1"/>
    <col min="13" max="13" width="7.875" style="82" customWidth="1"/>
    <col min="14" max="14" width="10.25390625" style="82" customWidth="1"/>
    <col min="15" max="16" width="7.875" style="82" customWidth="1"/>
    <col min="17" max="28" width="9.00390625" style="82" customWidth="1"/>
    <col min="29" max="29" width="8.375" style="82" customWidth="1"/>
    <col min="30" max="30" width="9.00390625" style="82" customWidth="1"/>
    <col min="31" max="31" width="11.25390625" style="82" customWidth="1"/>
    <col min="32" max="32" width="13.50390625" style="82" customWidth="1"/>
    <col min="33" max="16384" width="9.00390625" style="82" customWidth="1"/>
  </cols>
  <sheetData>
    <row r="1" spans="1:16" s="51" customFormat="1" ht="19.5" customHeight="1">
      <c r="A1" s="1208" t="s">
        <v>28</v>
      </c>
      <c r="B1" s="1208"/>
      <c r="C1" s="107"/>
      <c r="D1" s="1215" t="s">
        <v>459</v>
      </c>
      <c r="E1" s="1215"/>
      <c r="F1" s="1215"/>
      <c r="G1" s="1215"/>
      <c r="H1" s="1215"/>
      <c r="I1" s="1215"/>
      <c r="J1" s="1215"/>
      <c r="K1" s="1215"/>
      <c r="L1" s="1215"/>
      <c r="M1" s="1233" t="s">
        <v>400</v>
      </c>
      <c r="N1" s="1234"/>
      <c r="O1" s="1234"/>
      <c r="P1" s="1234"/>
    </row>
    <row r="2" spans="1:16" s="51" customFormat="1" ht="34.5" customHeight="1">
      <c r="A2" s="1214" t="s">
        <v>401</v>
      </c>
      <c r="B2" s="1214"/>
      <c r="C2" s="1214"/>
      <c r="D2" s="1215"/>
      <c r="E2" s="1215"/>
      <c r="F2" s="1215"/>
      <c r="G2" s="1215"/>
      <c r="H2" s="1215"/>
      <c r="I2" s="1215"/>
      <c r="J2" s="1215"/>
      <c r="K2" s="1215"/>
      <c r="L2" s="1215"/>
      <c r="M2" s="1235" t="s">
        <v>460</v>
      </c>
      <c r="N2" s="1236"/>
      <c r="O2" s="1236"/>
      <c r="P2" s="1236"/>
    </row>
    <row r="3" spans="1:16" s="51" customFormat="1" ht="19.5" customHeight="1">
      <c r="A3" s="1213" t="s">
        <v>402</v>
      </c>
      <c r="B3" s="1213"/>
      <c r="C3" s="1213"/>
      <c r="D3" s="1215"/>
      <c r="E3" s="1215"/>
      <c r="F3" s="1215"/>
      <c r="G3" s="1215"/>
      <c r="H3" s="1215"/>
      <c r="I3" s="1215"/>
      <c r="J3" s="1215"/>
      <c r="K3" s="1215"/>
      <c r="L3" s="1215"/>
      <c r="M3" s="1235" t="s">
        <v>403</v>
      </c>
      <c r="N3" s="1236"/>
      <c r="O3" s="1236"/>
      <c r="P3" s="1236"/>
    </row>
    <row r="4" spans="1:16" s="112" customFormat="1" ht="18.75" customHeight="1">
      <c r="A4" s="108"/>
      <c r="B4" s="108"/>
      <c r="C4" s="109"/>
      <c r="D4" s="1192"/>
      <c r="E4" s="1192"/>
      <c r="F4" s="1192"/>
      <c r="G4" s="1192"/>
      <c r="H4" s="1192"/>
      <c r="I4" s="1192"/>
      <c r="J4" s="1192"/>
      <c r="K4" s="1192"/>
      <c r="L4" s="1192"/>
      <c r="M4" s="110" t="s">
        <v>404</v>
      </c>
      <c r="N4" s="111"/>
      <c r="O4" s="111"/>
      <c r="P4" s="111"/>
    </row>
    <row r="5" spans="1:16" ht="49.5" customHeight="1">
      <c r="A5" s="1220" t="s">
        <v>72</v>
      </c>
      <c r="B5" s="1221"/>
      <c r="C5" s="1210" t="s">
        <v>100</v>
      </c>
      <c r="D5" s="1211"/>
      <c r="E5" s="1211"/>
      <c r="F5" s="1211"/>
      <c r="G5" s="1211"/>
      <c r="H5" s="1211"/>
      <c r="I5" s="1211"/>
      <c r="J5" s="1211"/>
      <c r="K5" s="1209" t="s">
        <v>99</v>
      </c>
      <c r="L5" s="1209"/>
      <c r="M5" s="1209"/>
      <c r="N5" s="1209"/>
      <c r="O5" s="1209"/>
      <c r="P5" s="1209"/>
    </row>
    <row r="6" spans="1:16" ht="20.25" customHeight="1">
      <c r="A6" s="1222"/>
      <c r="B6" s="1223"/>
      <c r="C6" s="1210" t="s">
        <v>3</v>
      </c>
      <c r="D6" s="1211"/>
      <c r="E6" s="1211"/>
      <c r="F6" s="1212"/>
      <c r="G6" s="1209" t="s">
        <v>10</v>
      </c>
      <c r="H6" s="1209"/>
      <c r="I6" s="1209"/>
      <c r="J6" s="1209"/>
      <c r="K6" s="1237" t="s">
        <v>3</v>
      </c>
      <c r="L6" s="1237"/>
      <c r="M6" s="1237"/>
      <c r="N6" s="1232" t="s">
        <v>10</v>
      </c>
      <c r="O6" s="1232"/>
      <c r="P6" s="1232"/>
    </row>
    <row r="7" spans="1:16" ht="52.5" customHeight="1">
      <c r="A7" s="1222"/>
      <c r="B7" s="1223"/>
      <c r="C7" s="1226" t="s">
        <v>405</v>
      </c>
      <c r="D7" s="1211" t="s">
        <v>96</v>
      </c>
      <c r="E7" s="1211"/>
      <c r="F7" s="1212"/>
      <c r="G7" s="1209" t="s">
        <v>406</v>
      </c>
      <c r="H7" s="1209" t="s">
        <v>96</v>
      </c>
      <c r="I7" s="1209"/>
      <c r="J7" s="1209"/>
      <c r="K7" s="1209" t="s">
        <v>39</v>
      </c>
      <c r="L7" s="1209" t="s">
        <v>97</v>
      </c>
      <c r="M7" s="1209"/>
      <c r="N7" s="1209" t="s">
        <v>80</v>
      </c>
      <c r="O7" s="1209" t="s">
        <v>97</v>
      </c>
      <c r="P7" s="1209"/>
    </row>
    <row r="8" spans="1:16" ht="15.75" customHeight="1">
      <c r="A8" s="1222"/>
      <c r="B8" s="1223"/>
      <c r="C8" s="1226"/>
      <c r="D8" s="1209" t="s">
        <v>44</v>
      </c>
      <c r="E8" s="1209" t="s">
        <v>45</v>
      </c>
      <c r="F8" s="1209" t="s">
        <v>48</v>
      </c>
      <c r="G8" s="1209"/>
      <c r="H8" s="1209" t="s">
        <v>44</v>
      </c>
      <c r="I8" s="1209" t="s">
        <v>45</v>
      </c>
      <c r="J8" s="1209" t="s">
        <v>48</v>
      </c>
      <c r="K8" s="1209"/>
      <c r="L8" s="1209" t="s">
        <v>16</v>
      </c>
      <c r="M8" s="1209" t="s">
        <v>15</v>
      </c>
      <c r="N8" s="1209"/>
      <c r="O8" s="1209" t="s">
        <v>16</v>
      </c>
      <c r="P8" s="1209" t="s">
        <v>15</v>
      </c>
    </row>
    <row r="9" spans="1:16" ht="44.25" customHeight="1">
      <c r="A9" s="1224"/>
      <c r="B9" s="1225"/>
      <c r="C9" s="1227"/>
      <c r="D9" s="1209"/>
      <c r="E9" s="1209"/>
      <c r="F9" s="1209"/>
      <c r="G9" s="1209"/>
      <c r="H9" s="1209"/>
      <c r="I9" s="1209"/>
      <c r="J9" s="1209"/>
      <c r="K9" s="1209"/>
      <c r="L9" s="1209"/>
      <c r="M9" s="1209"/>
      <c r="N9" s="1209"/>
      <c r="O9" s="1209"/>
      <c r="P9" s="1209"/>
    </row>
    <row r="10" spans="1:16" ht="15" customHeight="1">
      <c r="A10" s="1218" t="s">
        <v>6</v>
      </c>
      <c r="B10" s="1219"/>
      <c r="C10" s="114">
        <v>1</v>
      </c>
      <c r="D10" s="114" t="s">
        <v>53</v>
      </c>
      <c r="E10" s="114" t="s">
        <v>58</v>
      </c>
      <c r="F10" s="114" t="s">
        <v>73</v>
      </c>
      <c r="G10" s="114" t="s">
        <v>74</v>
      </c>
      <c r="H10" s="114" t="s">
        <v>75</v>
      </c>
      <c r="I10" s="114" t="s">
        <v>76</v>
      </c>
      <c r="J10" s="114" t="s">
        <v>77</v>
      </c>
      <c r="K10" s="114" t="s">
        <v>78</v>
      </c>
      <c r="L10" s="114" t="s">
        <v>101</v>
      </c>
      <c r="M10" s="114" t="s">
        <v>102</v>
      </c>
      <c r="N10" s="114" t="s">
        <v>103</v>
      </c>
      <c r="O10" s="114" t="s">
        <v>104</v>
      </c>
      <c r="P10" s="114" t="s">
        <v>105</v>
      </c>
    </row>
    <row r="11" spans="1:16" ht="15" customHeight="1">
      <c r="A11" s="1230" t="s">
        <v>407</v>
      </c>
      <c r="B11" s="1231"/>
      <c r="C11" s="115">
        <f aca="true" t="shared" si="0" ref="C11:P11">C13-C12</f>
        <v>0</v>
      </c>
      <c r="D11" s="115">
        <f t="shared" si="0"/>
        <v>0</v>
      </c>
      <c r="E11" s="115">
        <f t="shared" si="0"/>
        <v>0</v>
      </c>
      <c r="F11" s="115">
        <f t="shared" si="0"/>
        <v>0</v>
      </c>
      <c r="G11" s="115">
        <f t="shared" si="0"/>
        <v>0</v>
      </c>
      <c r="H11" s="115">
        <f t="shared" si="0"/>
        <v>0</v>
      </c>
      <c r="I11" s="115">
        <f t="shared" si="0"/>
        <v>0</v>
      </c>
      <c r="J11" s="115">
        <f t="shared" si="0"/>
        <v>0</v>
      </c>
      <c r="K11" s="115">
        <f t="shared" si="0"/>
        <v>0</v>
      </c>
      <c r="L11" s="115">
        <f t="shared" si="0"/>
        <v>0</v>
      </c>
      <c r="M11" s="115">
        <f t="shared" si="0"/>
        <v>0</v>
      </c>
      <c r="N11" s="115">
        <f t="shared" si="0"/>
        <v>0</v>
      </c>
      <c r="O11" s="115">
        <f t="shared" si="0"/>
        <v>0</v>
      </c>
      <c r="P11" s="115">
        <f t="shared" si="0"/>
        <v>0</v>
      </c>
    </row>
    <row r="12" spans="1:16" ht="15" customHeight="1">
      <c r="A12" s="1228" t="s">
        <v>408</v>
      </c>
      <c r="B12" s="1229"/>
      <c r="C12" s="116">
        <v>0</v>
      </c>
      <c r="D12" s="116">
        <v>0</v>
      </c>
      <c r="E12" s="116">
        <v>0</v>
      </c>
      <c r="F12" s="116">
        <v>0</v>
      </c>
      <c r="G12" s="116">
        <v>0</v>
      </c>
      <c r="H12" s="116">
        <v>0</v>
      </c>
      <c r="I12" s="116">
        <v>0</v>
      </c>
      <c r="J12" s="116">
        <v>0</v>
      </c>
      <c r="K12" s="116">
        <v>0</v>
      </c>
      <c r="L12" s="116">
        <v>0</v>
      </c>
      <c r="M12" s="116">
        <v>0</v>
      </c>
      <c r="N12" s="116">
        <v>0</v>
      </c>
      <c r="O12" s="116">
        <v>0</v>
      </c>
      <c r="P12" s="116">
        <v>0</v>
      </c>
    </row>
    <row r="13" spans="1:32" ht="15" customHeight="1">
      <c r="A13" s="1216" t="s">
        <v>41</v>
      </c>
      <c r="B13" s="1217"/>
      <c r="C13" s="117">
        <f>D13+E13+F13</f>
        <v>0</v>
      </c>
      <c r="D13" s="117">
        <f>D14+D15</f>
        <v>0</v>
      </c>
      <c r="E13" s="117">
        <f>E14+E15</f>
        <v>0</v>
      </c>
      <c r="F13" s="117">
        <f>F14+F15</f>
        <v>0</v>
      </c>
      <c r="G13" s="117">
        <f aca="true" t="shared" si="1" ref="G13:G26">H13+I13+J13</f>
        <v>0</v>
      </c>
      <c r="H13" s="117">
        <f>H14+H15</f>
        <v>0</v>
      </c>
      <c r="I13" s="117">
        <f>I14+I15</f>
        <v>0</v>
      </c>
      <c r="J13" s="117">
        <f>J14+J15</f>
        <v>0</v>
      </c>
      <c r="K13" s="117">
        <f aca="true" t="shared" si="2" ref="K13:K26">L13+M13</f>
        <v>0</v>
      </c>
      <c r="L13" s="117">
        <f>L14+L15</f>
        <v>0</v>
      </c>
      <c r="M13" s="117">
        <f>M14+M15</f>
        <v>0</v>
      </c>
      <c r="N13" s="117">
        <f aca="true" t="shared" si="3" ref="N13:N26">O13+P13</f>
        <v>0</v>
      </c>
      <c r="O13" s="117">
        <f>O14+O15</f>
        <v>0</v>
      </c>
      <c r="P13" s="117">
        <f>P14+P15</f>
        <v>0</v>
      </c>
      <c r="AF13" s="82" t="s">
        <v>376</v>
      </c>
    </row>
    <row r="14" spans="1:37" ht="15" customHeight="1">
      <c r="A14" s="118" t="s">
        <v>0</v>
      </c>
      <c r="B14" s="119" t="s">
        <v>98</v>
      </c>
      <c r="C14" s="120">
        <f>C15+C16</f>
        <v>0</v>
      </c>
      <c r="D14" s="121">
        <f>D15+D16</f>
        <v>0</v>
      </c>
      <c r="E14" s="121">
        <v>0</v>
      </c>
      <c r="F14" s="121">
        <v>0</v>
      </c>
      <c r="G14" s="121">
        <f t="shared" si="1"/>
        <v>0</v>
      </c>
      <c r="H14" s="121">
        <v>0</v>
      </c>
      <c r="I14" s="121">
        <v>0</v>
      </c>
      <c r="J14" s="121">
        <v>0</v>
      </c>
      <c r="K14" s="121">
        <f t="shared" si="2"/>
        <v>0</v>
      </c>
      <c r="L14" s="121">
        <v>0</v>
      </c>
      <c r="M14" s="121">
        <v>0</v>
      </c>
      <c r="N14" s="121">
        <f t="shared" si="3"/>
        <v>0</v>
      </c>
      <c r="O14" s="121">
        <v>0</v>
      </c>
      <c r="P14" s="121">
        <v>0</v>
      </c>
      <c r="AK14" s="122"/>
    </row>
    <row r="15" spans="1:16" ht="15" customHeight="1">
      <c r="A15" s="123" t="s">
        <v>1</v>
      </c>
      <c r="B15" s="124" t="s">
        <v>19</v>
      </c>
      <c r="C15" s="120">
        <f aca="true" t="shared" si="4" ref="C15:C26">D15+E15+F15</f>
        <v>0</v>
      </c>
      <c r="D15" s="120">
        <f>D16+D17+D18+D19+D20+D21+D22+D23+D24+D25+D26</f>
        <v>0</v>
      </c>
      <c r="E15" s="120">
        <f>E16+E17+E18+E19+E20+E21+E22+E23+E24+E25+E26</f>
        <v>0</v>
      </c>
      <c r="F15" s="120">
        <f>F16+F17+F18+F19+F20+F21+F22+F23+F24+F25+F26</f>
        <v>0</v>
      </c>
      <c r="G15" s="120">
        <f t="shared" si="1"/>
        <v>0</v>
      </c>
      <c r="H15" s="120">
        <f>H16+H17+H18+H19+H20+H21+H22+H23+H24+H25+H26</f>
        <v>0</v>
      </c>
      <c r="I15" s="120">
        <f>I16+I17+I18+I19+I20+I21+I22+I23+I24+I25+I26</f>
        <v>0</v>
      </c>
      <c r="J15" s="120">
        <f>J16+J17+J18+J19+J20+J21+J22+J23+J24+J25+J26</f>
        <v>0</v>
      </c>
      <c r="K15" s="120">
        <f t="shared" si="2"/>
        <v>0</v>
      </c>
      <c r="L15" s="120">
        <f>L16+L17+L18+L19+L20+L21+L22+L23+L24+L25+L26</f>
        <v>0</v>
      </c>
      <c r="M15" s="120">
        <f>M16+M17+M18+M19+M20+M21+M22+M23+M24+M25+M26</f>
        <v>0</v>
      </c>
      <c r="N15" s="120">
        <f t="shared" si="3"/>
        <v>0</v>
      </c>
      <c r="O15" s="120">
        <f>O16+O17+O18+O19+O20+O21+O22+O23+O24+O25+O26</f>
        <v>0</v>
      </c>
      <c r="P15" s="120">
        <f>P16+P17+P18+P19+P20+P21+P22+P23+P24+P25+P26</f>
        <v>0</v>
      </c>
    </row>
    <row r="16" spans="1:38" s="51" customFormat="1" ht="15" customHeight="1">
      <c r="A16" s="125" t="s">
        <v>52</v>
      </c>
      <c r="B16" s="126" t="s">
        <v>377</v>
      </c>
      <c r="C16" s="120">
        <f t="shared" si="4"/>
        <v>0</v>
      </c>
      <c r="D16" s="127">
        <v>0</v>
      </c>
      <c r="E16" s="127">
        <v>0</v>
      </c>
      <c r="F16" s="127">
        <v>0</v>
      </c>
      <c r="G16" s="127">
        <f t="shared" si="1"/>
        <v>0</v>
      </c>
      <c r="H16" s="127">
        <v>0</v>
      </c>
      <c r="I16" s="127">
        <v>0</v>
      </c>
      <c r="J16" s="127">
        <v>0</v>
      </c>
      <c r="K16" s="127">
        <f t="shared" si="2"/>
        <v>0</v>
      </c>
      <c r="L16" s="127">
        <v>0</v>
      </c>
      <c r="M16" s="127">
        <v>0</v>
      </c>
      <c r="N16" s="127">
        <f t="shared" si="3"/>
        <v>0</v>
      </c>
      <c r="O16" s="127">
        <v>0</v>
      </c>
      <c r="P16" s="127">
        <v>0</v>
      </c>
      <c r="AL16" s="122"/>
    </row>
    <row r="17" spans="1:32" s="51" customFormat="1" ht="15" customHeight="1">
      <c r="A17" s="125" t="s">
        <v>53</v>
      </c>
      <c r="B17" s="128" t="s">
        <v>409</v>
      </c>
      <c r="C17" s="120">
        <f t="shared" si="4"/>
        <v>0</v>
      </c>
      <c r="D17" s="127">
        <v>0</v>
      </c>
      <c r="E17" s="127">
        <v>0</v>
      </c>
      <c r="F17" s="127">
        <v>0</v>
      </c>
      <c r="G17" s="127">
        <f t="shared" si="1"/>
        <v>0</v>
      </c>
      <c r="H17" s="127">
        <v>0</v>
      </c>
      <c r="I17" s="127">
        <v>0</v>
      </c>
      <c r="J17" s="127">
        <v>0</v>
      </c>
      <c r="K17" s="127">
        <f t="shared" si="2"/>
        <v>0</v>
      </c>
      <c r="L17" s="127">
        <v>0</v>
      </c>
      <c r="M17" s="127">
        <v>0</v>
      </c>
      <c r="N17" s="127">
        <f t="shared" si="3"/>
        <v>0</v>
      </c>
      <c r="O17" s="127">
        <v>0</v>
      </c>
      <c r="P17" s="127">
        <v>0</v>
      </c>
      <c r="AF17" s="122" t="s">
        <v>379</v>
      </c>
    </row>
    <row r="18" spans="1:16" s="51" customFormat="1" ht="15" customHeight="1">
      <c r="A18" s="125" t="s">
        <v>58</v>
      </c>
      <c r="B18" s="126" t="s">
        <v>380</v>
      </c>
      <c r="C18" s="120">
        <f t="shared" si="4"/>
        <v>0</v>
      </c>
      <c r="D18" s="127">
        <v>0</v>
      </c>
      <c r="E18" s="127">
        <v>0</v>
      </c>
      <c r="F18" s="127">
        <v>0</v>
      </c>
      <c r="G18" s="127">
        <f t="shared" si="1"/>
        <v>0</v>
      </c>
      <c r="H18" s="127">
        <v>0</v>
      </c>
      <c r="I18" s="127">
        <v>0</v>
      </c>
      <c r="J18" s="127">
        <v>0</v>
      </c>
      <c r="K18" s="127">
        <f t="shared" si="2"/>
        <v>0</v>
      </c>
      <c r="L18" s="127">
        <v>0</v>
      </c>
      <c r="M18" s="127">
        <v>0</v>
      </c>
      <c r="N18" s="127">
        <f t="shared" si="3"/>
        <v>0</v>
      </c>
      <c r="O18" s="127">
        <v>0</v>
      </c>
      <c r="P18" s="127">
        <v>0</v>
      </c>
    </row>
    <row r="19" spans="1:16" s="51" customFormat="1" ht="15" customHeight="1">
      <c r="A19" s="125" t="s">
        <v>73</v>
      </c>
      <c r="B19" s="126" t="s">
        <v>381</v>
      </c>
      <c r="C19" s="120">
        <f t="shared" si="4"/>
        <v>0</v>
      </c>
      <c r="D19" s="127">
        <v>0</v>
      </c>
      <c r="E19" s="127">
        <v>0</v>
      </c>
      <c r="F19" s="127">
        <v>0</v>
      </c>
      <c r="G19" s="127">
        <f t="shared" si="1"/>
        <v>0</v>
      </c>
      <c r="H19" s="127">
        <v>0</v>
      </c>
      <c r="I19" s="127">
        <v>0</v>
      </c>
      <c r="J19" s="127">
        <v>0</v>
      </c>
      <c r="K19" s="127">
        <f t="shared" si="2"/>
        <v>0</v>
      </c>
      <c r="L19" s="127">
        <v>0</v>
      </c>
      <c r="M19" s="127">
        <v>0</v>
      </c>
      <c r="N19" s="127">
        <f t="shared" si="3"/>
        <v>0</v>
      </c>
      <c r="O19" s="127">
        <v>0</v>
      </c>
      <c r="P19" s="127">
        <v>0</v>
      </c>
    </row>
    <row r="20" spans="1:16" s="51" customFormat="1" ht="15" customHeight="1">
      <c r="A20" s="125" t="s">
        <v>74</v>
      </c>
      <c r="B20" s="126" t="s">
        <v>382</v>
      </c>
      <c r="C20" s="120">
        <f t="shared" si="4"/>
        <v>0</v>
      </c>
      <c r="D20" s="127">
        <v>0</v>
      </c>
      <c r="E20" s="127">
        <v>0</v>
      </c>
      <c r="F20" s="127">
        <v>0</v>
      </c>
      <c r="G20" s="127">
        <f t="shared" si="1"/>
        <v>0</v>
      </c>
      <c r="H20" s="127">
        <v>0</v>
      </c>
      <c r="I20" s="127">
        <v>0</v>
      </c>
      <c r="J20" s="127">
        <v>0</v>
      </c>
      <c r="K20" s="127">
        <f t="shared" si="2"/>
        <v>0</v>
      </c>
      <c r="L20" s="127">
        <v>0</v>
      </c>
      <c r="M20" s="127">
        <v>0</v>
      </c>
      <c r="N20" s="127">
        <f t="shared" si="3"/>
        <v>0</v>
      </c>
      <c r="O20" s="127">
        <v>0</v>
      </c>
      <c r="P20" s="127">
        <v>0</v>
      </c>
    </row>
    <row r="21" spans="1:39" s="51" customFormat="1" ht="15" customHeight="1">
      <c r="A21" s="125" t="s">
        <v>75</v>
      </c>
      <c r="B21" s="126" t="s">
        <v>383</v>
      </c>
      <c r="C21" s="120">
        <f t="shared" si="4"/>
        <v>0</v>
      </c>
      <c r="D21" s="127">
        <v>0</v>
      </c>
      <c r="E21" s="127">
        <v>0</v>
      </c>
      <c r="F21" s="127">
        <v>0</v>
      </c>
      <c r="G21" s="127">
        <f t="shared" si="1"/>
        <v>0</v>
      </c>
      <c r="H21" s="127">
        <v>0</v>
      </c>
      <c r="I21" s="127">
        <v>0</v>
      </c>
      <c r="J21" s="127">
        <v>0</v>
      </c>
      <c r="K21" s="127">
        <f t="shared" si="2"/>
        <v>0</v>
      </c>
      <c r="L21" s="127">
        <v>0</v>
      </c>
      <c r="M21" s="127">
        <v>0</v>
      </c>
      <c r="N21" s="127">
        <f t="shared" si="3"/>
        <v>0</v>
      </c>
      <c r="O21" s="127">
        <v>0</v>
      </c>
      <c r="P21" s="127">
        <v>0</v>
      </c>
      <c r="AJ21" s="51" t="s">
        <v>384</v>
      </c>
      <c r="AK21" s="51" t="s">
        <v>385</v>
      </c>
      <c r="AL21" s="51" t="s">
        <v>386</v>
      </c>
      <c r="AM21" s="122" t="s">
        <v>387</v>
      </c>
    </row>
    <row r="22" spans="1:39" s="51" customFormat="1" ht="15" customHeight="1">
      <c r="A22" s="125" t="s">
        <v>76</v>
      </c>
      <c r="B22" s="126" t="s">
        <v>388</v>
      </c>
      <c r="C22" s="120">
        <f t="shared" si="4"/>
        <v>0</v>
      </c>
      <c r="D22" s="127">
        <v>0</v>
      </c>
      <c r="E22" s="127">
        <v>0</v>
      </c>
      <c r="F22" s="127">
        <v>0</v>
      </c>
      <c r="G22" s="127">
        <f t="shared" si="1"/>
        <v>0</v>
      </c>
      <c r="H22" s="127">
        <v>0</v>
      </c>
      <c r="I22" s="127">
        <v>0</v>
      </c>
      <c r="J22" s="127">
        <v>0</v>
      </c>
      <c r="K22" s="127">
        <f t="shared" si="2"/>
        <v>0</v>
      </c>
      <c r="L22" s="127">
        <v>0</v>
      </c>
      <c r="M22" s="127">
        <v>0</v>
      </c>
      <c r="N22" s="127">
        <f t="shared" si="3"/>
        <v>0</v>
      </c>
      <c r="O22" s="127">
        <v>0</v>
      </c>
      <c r="P22" s="127">
        <v>0</v>
      </c>
      <c r="AM22" s="122" t="s">
        <v>389</v>
      </c>
    </row>
    <row r="23" spans="1:16" s="51" customFormat="1" ht="15" customHeight="1">
      <c r="A23" s="125" t="s">
        <v>77</v>
      </c>
      <c r="B23" s="126" t="s">
        <v>390</v>
      </c>
      <c r="C23" s="120">
        <f t="shared" si="4"/>
        <v>0</v>
      </c>
      <c r="D23" s="127">
        <v>0</v>
      </c>
      <c r="E23" s="127">
        <v>0</v>
      </c>
      <c r="F23" s="127">
        <v>0</v>
      </c>
      <c r="G23" s="127">
        <f t="shared" si="1"/>
        <v>0</v>
      </c>
      <c r="H23" s="127">
        <v>0</v>
      </c>
      <c r="I23" s="127">
        <v>0</v>
      </c>
      <c r="J23" s="127">
        <v>0</v>
      </c>
      <c r="K23" s="127">
        <f t="shared" si="2"/>
        <v>0</v>
      </c>
      <c r="L23" s="127">
        <v>0</v>
      </c>
      <c r="M23" s="127">
        <v>0</v>
      </c>
      <c r="N23" s="127">
        <f t="shared" si="3"/>
        <v>0</v>
      </c>
      <c r="O23" s="127">
        <v>0</v>
      </c>
      <c r="P23" s="127">
        <v>0</v>
      </c>
    </row>
    <row r="24" spans="1:36" s="51" customFormat="1" ht="15" customHeight="1">
      <c r="A24" s="125" t="s">
        <v>78</v>
      </c>
      <c r="B24" s="126" t="s">
        <v>391</v>
      </c>
      <c r="C24" s="120">
        <f t="shared" si="4"/>
        <v>0</v>
      </c>
      <c r="D24" s="127">
        <v>0</v>
      </c>
      <c r="E24" s="127">
        <v>0</v>
      </c>
      <c r="F24" s="127">
        <v>0</v>
      </c>
      <c r="G24" s="127">
        <f t="shared" si="1"/>
        <v>0</v>
      </c>
      <c r="H24" s="127">
        <v>0</v>
      </c>
      <c r="I24" s="127">
        <v>0</v>
      </c>
      <c r="J24" s="127">
        <v>0</v>
      </c>
      <c r="K24" s="127">
        <f t="shared" si="2"/>
        <v>0</v>
      </c>
      <c r="L24" s="127">
        <v>0</v>
      </c>
      <c r="M24" s="127">
        <v>0</v>
      </c>
      <c r="N24" s="127">
        <f t="shared" si="3"/>
        <v>0</v>
      </c>
      <c r="O24" s="127">
        <v>0</v>
      </c>
      <c r="P24" s="127">
        <v>0</v>
      </c>
      <c r="AJ24" s="51" t="s">
        <v>384</v>
      </c>
    </row>
    <row r="25" spans="1:36" s="51" customFormat="1" ht="15" customHeight="1">
      <c r="A25" s="125" t="s">
        <v>101</v>
      </c>
      <c r="B25" s="126" t="s">
        <v>392</v>
      </c>
      <c r="C25" s="120">
        <f t="shared" si="4"/>
        <v>0</v>
      </c>
      <c r="D25" s="127">
        <v>0</v>
      </c>
      <c r="E25" s="127">
        <v>0</v>
      </c>
      <c r="F25" s="127">
        <v>0</v>
      </c>
      <c r="G25" s="127">
        <f t="shared" si="1"/>
        <v>0</v>
      </c>
      <c r="H25" s="127">
        <v>0</v>
      </c>
      <c r="I25" s="127">
        <v>0</v>
      </c>
      <c r="J25" s="127">
        <v>0</v>
      </c>
      <c r="K25" s="127">
        <f t="shared" si="2"/>
        <v>0</v>
      </c>
      <c r="L25" s="127">
        <v>0</v>
      </c>
      <c r="M25" s="127">
        <v>0</v>
      </c>
      <c r="N25" s="127">
        <f t="shared" si="3"/>
        <v>0</v>
      </c>
      <c r="O25" s="127">
        <v>0</v>
      </c>
      <c r="P25" s="127">
        <v>0</v>
      </c>
      <c r="AJ25" s="122" t="s">
        <v>393</v>
      </c>
    </row>
    <row r="26" spans="1:44" s="51" customFormat="1" ht="15" customHeight="1">
      <c r="A26" s="125" t="s">
        <v>102</v>
      </c>
      <c r="B26" s="126" t="s">
        <v>394</v>
      </c>
      <c r="C26" s="120">
        <f t="shared" si="4"/>
        <v>0</v>
      </c>
      <c r="D26" s="127">
        <v>0</v>
      </c>
      <c r="E26" s="127">
        <v>0</v>
      </c>
      <c r="F26" s="127">
        <v>0</v>
      </c>
      <c r="G26" s="127">
        <f t="shared" si="1"/>
        <v>0</v>
      </c>
      <c r="H26" s="127">
        <v>0</v>
      </c>
      <c r="I26" s="127">
        <v>0</v>
      </c>
      <c r="J26" s="127">
        <v>0</v>
      </c>
      <c r="K26" s="127">
        <f t="shared" si="2"/>
        <v>0</v>
      </c>
      <c r="L26" s="127">
        <v>0</v>
      </c>
      <c r="M26" s="127">
        <v>0</v>
      </c>
      <c r="N26" s="127">
        <f t="shared" si="3"/>
        <v>0</v>
      </c>
      <c r="O26" s="127">
        <v>0</v>
      </c>
      <c r="P26" s="127">
        <v>0</v>
      </c>
      <c r="AR26" s="122"/>
    </row>
    <row r="27" spans="1:16" ht="9.75" customHeight="1">
      <c r="A27" s="129"/>
      <c r="B27" s="130"/>
      <c r="C27" s="131"/>
      <c r="D27" s="131"/>
      <c r="E27" s="131"/>
      <c r="F27" s="131"/>
      <c r="G27" s="131"/>
      <c r="H27" s="131"/>
      <c r="I27" s="131"/>
      <c r="J27" s="131"/>
      <c r="K27" s="131"/>
      <c r="L27" s="131"/>
      <c r="M27" s="131"/>
      <c r="N27" s="131"/>
      <c r="O27" s="131"/>
      <c r="P27" s="131"/>
    </row>
    <row r="28" spans="2:35" ht="27" customHeight="1">
      <c r="B28" s="1243" t="s">
        <v>461</v>
      </c>
      <c r="C28" s="1244"/>
      <c r="D28" s="1244"/>
      <c r="E28" s="1244"/>
      <c r="F28" s="132"/>
      <c r="G28" s="132"/>
      <c r="H28" s="132"/>
      <c r="I28" s="132"/>
      <c r="J28" s="132"/>
      <c r="K28" s="1238" t="s">
        <v>462</v>
      </c>
      <c r="L28" s="1238"/>
      <c r="M28" s="1238"/>
      <c r="N28" s="1238"/>
      <c r="O28" s="1238"/>
      <c r="P28" s="1238"/>
      <c r="AG28" s="82" t="s">
        <v>396</v>
      </c>
      <c r="AI28" s="122">
        <f>82/88</f>
        <v>0.9318181818181818</v>
      </c>
    </row>
    <row r="29" spans="2:16" ht="16.5">
      <c r="B29" s="1244"/>
      <c r="C29" s="1244"/>
      <c r="D29" s="1244"/>
      <c r="E29" s="1244"/>
      <c r="F29" s="132"/>
      <c r="G29" s="132"/>
      <c r="H29" s="132"/>
      <c r="I29" s="132"/>
      <c r="J29" s="132"/>
      <c r="K29" s="1238"/>
      <c r="L29" s="1238"/>
      <c r="M29" s="1238"/>
      <c r="N29" s="1238"/>
      <c r="O29" s="1238"/>
      <c r="P29" s="1238"/>
    </row>
    <row r="30" spans="2:16" ht="21" customHeight="1">
      <c r="B30" s="1244"/>
      <c r="C30" s="1244"/>
      <c r="D30" s="1244"/>
      <c r="E30" s="1244"/>
      <c r="F30" s="132"/>
      <c r="G30" s="132"/>
      <c r="H30" s="132"/>
      <c r="I30" s="132"/>
      <c r="J30" s="132"/>
      <c r="K30" s="1238"/>
      <c r="L30" s="1238"/>
      <c r="M30" s="1238"/>
      <c r="N30" s="1238"/>
      <c r="O30" s="1238"/>
      <c r="P30" s="1238"/>
    </row>
    <row r="32" spans="2:16" ht="16.5" customHeight="1">
      <c r="B32" s="1246" t="s">
        <v>399</v>
      </c>
      <c r="C32" s="1246"/>
      <c r="D32" s="1246"/>
      <c r="E32" s="133"/>
      <c r="F32" s="133"/>
      <c r="G32" s="133"/>
      <c r="H32" s="133"/>
      <c r="I32" s="133"/>
      <c r="J32" s="133"/>
      <c r="K32" s="1245" t="s">
        <v>463</v>
      </c>
      <c r="L32" s="1245"/>
      <c r="M32" s="1245"/>
      <c r="N32" s="1245"/>
      <c r="O32" s="1245"/>
      <c r="P32" s="1245"/>
    </row>
    <row r="33" ht="12.75" customHeight="1"/>
    <row r="34" spans="2:5" ht="15.75">
      <c r="B34" s="134"/>
      <c r="C34" s="134"/>
      <c r="D34" s="134"/>
      <c r="E34" s="134"/>
    </row>
    <row r="35" ht="15.75" hidden="1"/>
    <row r="36" spans="2:16" ht="15.75">
      <c r="B36" s="1241" t="s">
        <v>352</v>
      </c>
      <c r="C36" s="1241"/>
      <c r="D36" s="1241"/>
      <c r="E36" s="1241"/>
      <c r="F36" s="135"/>
      <c r="G36" s="135"/>
      <c r="H36" s="135"/>
      <c r="I36" s="135"/>
      <c r="K36" s="1242" t="s">
        <v>353</v>
      </c>
      <c r="L36" s="1242"/>
      <c r="M36" s="1242"/>
      <c r="N36" s="1242"/>
      <c r="O36" s="1242"/>
      <c r="P36" s="1242"/>
    </row>
    <row r="39" ht="15.75">
      <c r="A39" s="137" t="s">
        <v>49</v>
      </c>
    </row>
    <row r="40" spans="1:6" ht="15.75">
      <c r="A40" s="138"/>
      <c r="B40" s="139" t="s">
        <v>59</v>
      </c>
      <c r="C40" s="139"/>
      <c r="D40" s="139"/>
      <c r="E40" s="139"/>
      <c r="F40" s="139"/>
    </row>
    <row r="41" spans="1:14" ht="15.75" customHeight="1">
      <c r="A41" s="140" t="s">
        <v>27</v>
      </c>
      <c r="B41" s="1240" t="s">
        <v>63</v>
      </c>
      <c r="C41" s="1240"/>
      <c r="D41" s="1240"/>
      <c r="E41" s="1240"/>
      <c r="F41" s="1240"/>
      <c r="G41" s="140"/>
      <c r="H41" s="140"/>
      <c r="I41" s="140"/>
      <c r="J41" s="140"/>
      <c r="K41" s="140"/>
      <c r="L41" s="140"/>
      <c r="M41" s="140"/>
      <c r="N41" s="140"/>
    </row>
    <row r="42" spans="1:14" ht="15" customHeight="1">
      <c r="A42" s="140"/>
      <c r="B42" s="1239" t="s">
        <v>66</v>
      </c>
      <c r="C42" s="1239"/>
      <c r="D42" s="1239"/>
      <c r="E42" s="1239"/>
      <c r="F42" s="1239"/>
      <c r="G42" s="1239"/>
      <c r="H42" s="141"/>
      <c r="I42" s="141"/>
      <c r="J42" s="141"/>
      <c r="K42" s="140"/>
      <c r="L42" s="140"/>
      <c r="M42" s="140"/>
      <c r="N42" s="140"/>
    </row>
  </sheetData>
  <sheetProtection/>
  <mergeCells count="45">
    <mergeCell ref="K28:P30"/>
    <mergeCell ref="B42:G42"/>
    <mergeCell ref="B41:F41"/>
    <mergeCell ref="B36:E36"/>
    <mergeCell ref="K36:P36"/>
    <mergeCell ref="B28:E30"/>
    <mergeCell ref="K32:P32"/>
    <mergeCell ref="B32:D32"/>
    <mergeCell ref="M1:P1"/>
    <mergeCell ref="M2:P2"/>
    <mergeCell ref="M3:P3"/>
    <mergeCell ref="H8:H9"/>
    <mergeCell ref="L8:L9"/>
    <mergeCell ref="M8:M9"/>
    <mergeCell ref="K6:M6"/>
    <mergeCell ref="D4:L4"/>
    <mergeCell ref="D7:F7"/>
    <mergeCell ref="K5:P5"/>
    <mergeCell ref="A11:B11"/>
    <mergeCell ref="P8:P9"/>
    <mergeCell ref="O8:O9"/>
    <mergeCell ref="N7:N9"/>
    <mergeCell ref="N6:P6"/>
    <mergeCell ref="O7:P7"/>
    <mergeCell ref="L7:M7"/>
    <mergeCell ref="A13:B13"/>
    <mergeCell ref="G7:G9"/>
    <mergeCell ref="A10:B10"/>
    <mergeCell ref="A5:B9"/>
    <mergeCell ref="C5:J5"/>
    <mergeCell ref="G6:J6"/>
    <mergeCell ref="C7:C9"/>
    <mergeCell ref="H7:J7"/>
    <mergeCell ref="D8:D9"/>
    <mergeCell ref="A12:B12"/>
    <mergeCell ref="A1:B1"/>
    <mergeCell ref="E8:E9"/>
    <mergeCell ref="C6:F6"/>
    <mergeCell ref="F8:F9"/>
    <mergeCell ref="A3:C3"/>
    <mergeCell ref="A2:C2"/>
    <mergeCell ref="D1:L3"/>
    <mergeCell ref="I8:I9"/>
    <mergeCell ref="K7:K9"/>
    <mergeCell ref="J8:J9"/>
  </mergeCells>
  <printOptions/>
  <pageMargins left="0.38" right="0" top="0.18" bottom="0" header="0.09" footer="0.19"/>
  <pageSetup horizontalDpi="600" verticalDpi="600" orientation="landscape" paperSize="9" scale="90" r:id="rId3"/>
  <legacyDrawing r:id="rId2"/>
</worksheet>
</file>

<file path=xl/worksheets/sheet30.xml><?xml version="1.0" encoding="utf-8"?>
<worksheet xmlns="http://schemas.openxmlformats.org/spreadsheetml/2006/main" xmlns:r="http://schemas.openxmlformats.org/officeDocument/2006/relationships">
  <sheetPr>
    <tabColor indexed="11"/>
  </sheetPr>
  <dimension ref="A1:T42"/>
  <sheetViews>
    <sheetView showZeros="0" view="pageBreakPreview" zoomScale="85" zoomScaleSheetLayoutView="85" zoomScalePageLayoutView="0" workbookViewId="0" topLeftCell="A7">
      <selection activeCell="R28" sqref="R28"/>
    </sheetView>
  </sheetViews>
  <sheetFormatPr defaultColWidth="9.00390625" defaultRowHeight="15.75"/>
  <cols>
    <col min="1" max="1" width="3.75390625" style="575" customWidth="1"/>
    <col min="2" max="2" width="23.875" style="575" customWidth="1"/>
    <col min="3" max="3" width="6.50390625" style="575" customWidth="1"/>
    <col min="4" max="4" width="6.25390625" style="575" customWidth="1"/>
    <col min="5" max="5" width="6.125" style="575" customWidth="1"/>
    <col min="6" max="8" width="6.25390625" style="575" customWidth="1"/>
    <col min="9" max="9" width="6.00390625" style="575" customWidth="1"/>
    <col min="10" max="10" width="6.125" style="575" customWidth="1"/>
    <col min="11" max="12" width="5.625" style="575" customWidth="1"/>
    <col min="13" max="13" width="6.125" style="575" customWidth="1"/>
    <col min="14" max="15" width="6.25390625" style="575" customWidth="1"/>
    <col min="16" max="18" width="5.625" style="575" customWidth="1"/>
    <col min="19" max="19" width="5.875" style="575" customWidth="1"/>
    <col min="20" max="20" width="5.625" style="575" customWidth="1"/>
    <col min="21" max="16384" width="9.00390625" style="575" customWidth="1"/>
  </cols>
  <sheetData>
    <row r="1" spans="1:20" ht="16.5">
      <c r="A1" s="625" t="s">
        <v>255</v>
      </c>
      <c r="B1" s="499"/>
      <c r="C1" s="499"/>
      <c r="D1" s="497"/>
      <c r="E1" s="1774" t="s">
        <v>256</v>
      </c>
      <c r="F1" s="1774"/>
      <c r="G1" s="1774"/>
      <c r="H1" s="1774"/>
      <c r="I1" s="1774"/>
      <c r="J1" s="1774"/>
      <c r="K1" s="1774"/>
      <c r="L1" s="1774"/>
      <c r="M1" s="1774"/>
      <c r="N1" s="1774"/>
      <c r="O1" s="574"/>
      <c r="P1" s="1775" t="s">
        <v>667</v>
      </c>
      <c r="Q1" s="1776"/>
      <c r="R1" s="1776"/>
      <c r="S1" s="1776"/>
      <c r="T1" s="1776"/>
    </row>
    <row r="2" spans="1:20" ht="15.75" customHeight="1">
      <c r="A2" s="1770" t="s">
        <v>344</v>
      </c>
      <c r="B2" s="1770"/>
      <c r="C2" s="1770"/>
      <c r="D2" s="1770"/>
      <c r="E2" s="1771" t="s">
        <v>257</v>
      </c>
      <c r="F2" s="1771"/>
      <c r="G2" s="1771"/>
      <c r="H2" s="1771"/>
      <c r="I2" s="1771"/>
      <c r="J2" s="1771"/>
      <c r="K2" s="1771"/>
      <c r="L2" s="1771"/>
      <c r="M2" s="1771"/>
      <c r="N2" s="1771"/>
      <c r="O2" s="576"/>
      <c r="P2" s="1772" t="str">
        <f>'Thong tin'!B4</f>
        <v>CTHADS Hải Phòng</v>
      </c>
      <c r="Q2" s="1772"/>
      <c r="R2" s="1772"/>
      <c r="S2" s="1772"/>
      <c r="T2" s="1772"/>
    </row>
    <row r="3" spans="1:20" ht="17.25">
      <c r="A3" s="1779" t="s">
        <v>345</v>
      </c>
      <c r="B3" s="1779"/>
      <c r="C3" s="1779"/>
      <c r="D3" s="1779"/>
      <c r="E3" s="1778" t="str">
        <f>'Thong tin'!B3</f>
        <v>10 tháng / năm 2017</v>
      </c>
      <c r="F3" s="1778"/>
      <c r="G3" s="1778"/>
      <c r="H3" s="1778"/>
      <c r="I3" s="1778"/>
      <c r="J3" s="1778"/>
      <c r="K3" s="1778"/>
      <c r="L3" s="1778"/>
      <c r="M3" s="1778"/>
      <c r="N3" s="1778"/>
      <c r="O3" s="576"/>
      <c r="P3" s="1773" t="s">
        <v>470</v>
      </c>
      <c r="Q3" s="1773"/>
      <c r="R3" s="1773"/>
      <c r="S3" s="1773"/>
      <c r="T3" s="1773"/>
    </row>
    <row r="4" spans="1:20" ht="18.75" customHeight="1">
      <c r="A4" s="498" t="s">
        <v>217</v>
      </c>
      <c r="B4" s="468"/>
      <c r="C4" s="468"/>
      <c r="D4" s="468"/>
      <c r="E4" s="626"/>
      <c r="F4" s="626"/>
      <c r="G4" s="626"/>
      <c r="H4" s="626"/>
      <c r="I4" s="626"/>
      <c r="J4" s="626"/>
      <c r="K4" s="626"/>
      <c r="L4" s="626"/>
      <c r="M4" s="626"/>
      <c r="N4" s="626"/>
      <c r="O4" s="577"/>
      <c r="P4" s="1772" t="s">
        <v>403</v>
      </c>
      <c r="Q4" s="1773"/>
      <c r="R4" s="1773"/>
      <c r="S4" s="1773"/>
      <c r="T4" s="1773"/>
    </row>
    <row r="5" spans="1:20" ht="29.25" customHeight="1">
      <c r="A5" s="1762" t="s">
        <v>72</v>
      </c>
      <c r="B5" s="1780"/>
      <c r="C5" s="1783" t="s">
        <v>2</v>
      </c>
      <c r="D5" s="1786" t="s">
        <v>258</v>
      </c>
      <c r="E5" s="1787"/>
      <c r="F5" s="1787"/>
      <c r="G5" s="1787"/>
      <c r="H5" s="1787"/>
      <c r="I5" s="1787"/>
      <c r="J5" s="1788"/>
      <c r="K5" s="1790" t="s">
        <v>259</v>
      </c>
      <c r="L5" s="1791"/>
      <c r="M5" s="1791"/>
      <c r="N5" s="1791"/>
      <c r="O5" s="1791"/>
      <c r="P5" s="1791"/>
      <c r="Q5" s="1791"/>
      <c r="R5" s="1791"/>
      <c r="S5" s="1791"/>
      <c r="T5" s="1792"/>
    </row>
    <row r="6" spans="1:20" ht="19.5" customHeight="1">
      <c r="A6" s="1764"/>
      <c r="B6" s="1781"/>
      <c r="C6" s="1784"/>
      <c r="D6" s="1787" t="s">
        <v>7</v>
      </c>
      <c r="E6" s="1787"/>
      <c r="F6" s="1787"/>
      <c r="G6" s="1787"/>
      <c r="H6" s="1787"/>
      <c r="I6" s="1787"/>
      <c r="J6" s="1788"/>
      <c r="K6" s="1793"/>
      <c r="L6" s="1794"/>
      <c r="M6" s="1794"/>
      <c r="N6" s="1794"/>
      <c r="O6" s="1794"/>
      <c r="P6" s="1794"/>
      <c r="Q6" s="1794"/>
      <c r="R6" s="1794"/>
      <c r="S6" s="1794"/>
      <c r="T6" s="1795"/>
    </row>
    <row r="7" spans="1:20" ht="33" customHeight="1">
      <c r="A7" s="1764"/>
      <c r="B7" s="1781"/>
      <c r="C7" s="1784"/>
      <c r="D7" s="1796" t="s">
        <v>260</v>
      </c>
      <c r="E7" s="1797"/>
      <c r="F7" s="1789" t="s">
        <v>261</v>
      </c>
      <c r="G7" s="1797"/>
      <c r="H7" s="1789" t="s">
        <v>262</v>
      </c>
      <c r="I7" s="1797"/>
      <c r="J7" s="1789" t="s">
        <v>263</v>
      </c>
      <c r="K7" s="1777" t="s">
        <v>264</v>
      </c>
      <c r="L7" s="1777"/>
      <c r="M7" s="1777"/>
      <c r="N7" s="1777" t="s">
        <v>265</v>
      </c>
      <c r="O7" s="1777"/>
      <c r="P7" s="1777"/>
      <c r="Q7" s="1789" t="s">
        <v>266</v>
      </c>
      <c r="R7" s="1789" t="s">
        <v>267</v>
      </c>
      <c r="S7" s="1789" t="s">
        <v>268</v>
      </c>
      <c r="T7" s="1789" t="s">
        <v>269</v>
      </c>
    </row>
    <row r="8" spans="1:20" ht="18.75" customHeight="1">
      <c r="A8" s="1764"/>
      <c r="B8" s="1781"/>
      <c r="C8" s="1784"/>
      <c r="D8" s="1796" t="s">
        <v>270</v>
      </c>
      <c r="E8" s="1789" t="s">
        <v>271</v>
      </c>
      <c r="F8" s="1789" t="s">
        <v>270</v>
      </c>
      <c r="G8" s="1789" t="s">
        <v>271</v>
      </c>
      <c r="H8" s="1789" t="s">
        <v>270</v>
      </c>
      <c r="I8" s="1789" t="s">
        <v>272</v>
      </c>
      <c r="J8" s="1789"/>
      <c r="K8" s="1777"/>
      <c r="L8" s="1777"/>
      <c r="M8" s="1777"/>
      <c r="N8" s="1777"/>
      <c r="O8" s="1777"/>
      <c r="P8" s="1777"/>
      <c r="Q8" s="1789"/>
      <c r="R8" s="1789"/>
      <c r="S8" s="1789"/>
      <c r="T8" s="1789"/>
    </row>
    <row r="9" spans="1:20" ht="23.25" customHeight="1">
      <c r="A9" s="1766"/>
      <c r="B9" s="1782"/>
      <c r="C9" s="1785"/>
      <c r="D9" s="1796"/>
      <c r="E9" s="1789"/>
      <c r="F9" s="1789"/>
      <c r="G9" s="1789"/>
      <c r="H9" s="1789"/>
      <c r="I9" s="1789"/>
      <c r="J9" s="1789"/>
      <c r="K9" s="597" t="s">
        <v>273</v>
      </c>
      <c r="L9" s="597" t="s">
        <v>248</v>
      </c>
      <c r="M9" s="597" t="s">
        <v>274</v>
      </c>
      <c r="N9" s="597" t="s">
        <v>273</v>
      </c>
      <c r="O9" s="597" t="s">
        <v>275</v>
      </c>
      <c r="P9" s="597" t="s">
        <v>276</v>
      </c>
      <c r="Q9" s="1789"/>
      <c r="R9" s="1789"/>
      <c r="S9" s="1789"/>
      <c r="T9" s="1789"/>
    </row>
    <row r="10" spans="1:20" s="578" customFormat="1" ht="17.25" customHeight="1">
      <c r="A10" s="1799" t="s">
        <v>6</v>
      </c>
      <c r="B10" s="1800"/>
      <c r="C10" s="598">
        <v>1</v>
      </c>
      <c r="D10" s="599">
        <v>2</v>
      </c>
      <c r="E10" s="599">
        <v>3</v>
      </c>
      <c r="F10" s="599">
        <v>4</v>
      </c>
      <c r="G10" s="599">
        <v>5</v>
      </c>
      <c r="H10" s="599">
        <v>6</v>
      </c>
      <c r="I10" s="599">
        <v>7</v>
      </c>
      <c r="J10" s="599">
        <v>8</v>
      </c>
      <c r="K10" s="599">
        <v>9</v>
      </c>
      <c r="L10" s="599">
        <v>10</v>
      </c>
      <c r="M10" s="599">
        <v>11</v>
      </c>
      <c r="N10" s="599">
        <v>12</v>
      </c>
      <c r="O10" s="599">
        <v>13</v>
      </c>
      <c r="P10" s="599">
        <v>14</v>
      </c>
      <c r="Q10" s="599">
        <v>15</v>
      </c>
      <c r="R10" s="599">
        <v>16</v>
      </c>
      <c r="S10" s="599">
        <v>17</v>
      </c>
      <c r="T10" s="599">
        <v>18</v>
      </c>
    </row>
    <row r="11" spans="1:20" s="692" customFormat="1" ht="19.5" customHeight="1">
      <c r="A11" s="1746" t="s">
        <v>672</v>
      </c>
      <c r="B11" s="1747"/>
      <c r="C11" s="700">
        <f>C12+C13</f>
        <v>192</v>
      </c>
      <c r="D11" s="700">
        <f aca="true" t="shared" si="0" ref="D11:T11">D12+D13</f>
        <v>4</v>
      </c>
      <c r="E11" s="700">
        <f t="shared" si="0"/>
        <v>3</v>
      </c>
      <c r="F11" s="700">
        <f t="shared" si="0"/>
        <v>143</v>
      </c>
      <c r="G11" s="700">
        <f t="shared" si="0"/>
        <v>27</v>
      </c>
      <c r="H11" s="700">
        <f t="shared" si="0"/>
        <v>3</v>
      </c>
      <c r="I11" s="700">
        <f t="shared" si="0"/>
        <v>12</v>
      </c>
      <c r="J11" s="700">
        <f t="shared" si="0"/>
        <v>0</v>
      </c>
      <c r="K11" s="700">
        <f t="shared" si="0"/>
        <v>0</v>
      </c>
      <c r="L11" s="700">
        <f t="shared" si="0"/>
        <v>14</v>
      </c>
      <c r="M11" s="700">
        <f t="shared" si="0"/>
        <v>60</v>
      </c>
      <c r="N11" s="700">
        <f t="shared" si="0"/>
        <v>7</v>
      </c>
      <c r="O11" s="700">
        <f t="shared" si="0"/>
        <v>60</v>
      </c>
      <c r="P11" s="700">
        <f t="shared" si="0"/>
        <v>0</v>
      </c>
      <c r="Q11" s="700">
        <f t="shared" si="0"/>
        <v>84</v>
      </c>
      <c r="R11" s="700">
        <f t="shared" si="0"/>
        <v>12</v>
      </c>
      <c r="S11" s="700">
        <f t="shared" si="0"/>
        <v>45</v>
      </c>
      <c r="T11" s="700">
        <f t="shared" si="0"/>
        <v>47</v>
      </c>
    </row>
    <row r="12" spans="1:20" s="692" customFormat="1" ht="32.25" customHeight="1">
      <c r="A12" s="688" t="s">
        <v>0</v>
      </c>
      <c r="B12" s="669" t="s">
        <v>786</v>
      </c>
      <c r="C12" s="701">
        <f>SUM(D12:J12)</f>
        <v>34</v>
      </c>
      <c r="D12" s="702">
        <v>2</v>
      </c>
      <c r="E12" s="702">
        <v>3</v>
      </c>
      <c r="F12" s="702">
        <v>24</v>
      </c>
      <c r="G12" s="702">
        <v>5</v>
      </c>
      <c r="H12" s="702">
        <v>0</v>
      </c>
      <c r="I12" s="703">
        <v>0</v>
      </c>
      <c r="J12" s="703">
        <v>0</v>
      </c>
      <c r="K12" s="703">
        <v>0</v>
      </c>
      <c r="L12" s="703">
        <v>9</v>
      </c>
      <c r="M12" s="702">
        <v>6</v>
      </c>
      <c r="N12" s="702">
        <v>6</v>
      </c>
      <c r="O12" s="702">
        <v>9</v>
      </c>
      <c r="P12" s="702">
        <v>0</v>
      </c>
      <c r="Q12" s="702">
        <v>18</v>
      </c>
      <c r="R12" s="704">
        <v>3</v>
      </c>
      <c r="S12" s="704">
        <v>5</v>
      </c>
      <c r="T12" s="704">
        <v>8</v>
      </c>
    </row>
    <row r="13" spans="1:20" s="692" customFormat="1" ht="32.25" customHeight="1">
      <c r="A13" s="690" t="s">
        <v>1</v>
      </c>
      <c r="B13" s="669" t="s">
        <v>19</v>
      </c>
      <c r="C13" s="701">
        <f>SUM(D13:J13)</f>
        <v>158</v>
      </c>
      <c r="D13" s="701">
        <f aca="true" t="shared" si="1" ref="D13:T13">SUM(D14:D28)</f>
        <v>2</v>
      </c>
      <c r="E13" s="701">
        <f t="shared" si="1"/>
        <v>0</v>
      </c>
      <c r="F13" s="701">
        <f t="shared" si="1"/>
        <v>119</v>
      </c>
      <c r="G13" s="701">
        <f t="shared" si="1"/>
        <v>22</v>
      </c>
      <c r="H13" s="701">
        <f t="shared" si="1"/>
        <v>3</v>
      </c>
      <c r="I13" s="701">
        <f t="shared" si="1"/>
        <v>12</v>
      </c>
      <c r="J13" s="701">
        <f t="shared" si="1"/>
        <v>0</v>
      </c>
      <c r="K13" s="701">
        <f t="shared" si="1"/>
        <v>0</v>
      </c>
      <c r="L13" s="701">
        <f t="shared" si="1"/>
        <v>5</v>
      </c>
      <c r="M13" s="701">
        <f t="shared" si="1"/>
        <v>54</v>
      </c>
      <c r="N13" s="701">
        <f t="shared" si="1"/>
        <v>1</v>
      </c>
      <c r="O13" s="701">
        <f t="shared" si="1"/>
        <v>51</v>
      </c>
      <c r="P13" s="701">
        <f t="shared" si="1"/>
        <v>0</v>
      </c>
      <c r="Q13" s="701">
        <f t="shared" si="1"/>
        <v>66</v>
      </c>
      <c r="R13" s="701">
        <f t="shared" si="1"/>
        <v>9</v>
      </c>
      <c r="S13" s="701">
        <f t="shared" si="1"/>
        <v>40</v>
      </c>
      <c r="T13" s="701">
        <f t="shared" si="1"/>
        <v>39</v>
      </c>
    </row>
    <row r="14" spans="1:20" s="692" customFormat="1" ht="32.25" customHeight="1">
      <c r="A14" s="691">
        <v>1</v>
      </c>
      <c r="B14" s="696" t="s">
        <v>732</v>
      </c>
      <c r="C14" s="702">
        <f>SUM(D14:J14)</f>
        <v>15</v>
      </c>
      <c r="D14" s="702"/>
      <c r="E14" s="702"/>
      <c r="F14" s="702">
        <v>12</v>
      </c>
      <c r="G14" s="702">
        <v>2</v>
      </c>
      <c r="H14" s="702"/>
      <c r="I14" s="703">
        <v>1</v>
      </c>
      <c r="J14" s="703"/>
      <c r="K14" s="703"/>
      <c r="L14" s="703">
        <v>1</v>
      </c>
      <c r="M14" s="702">
        <v>4</v>
      </c>
      <c r="N14" s="702"/>
      <c r="O14" s="702">
        <v>4</v>
      </c>
      <c r="P14" s="702"/>
      <c r="Q14" s="702">
        <v>6</v>
      </c>
      <c r="R14" s="704">
        <v>2</v>
      </c>
      <c r="S14" s="704">
        <v>4</v>
      </c>
      <c r="T14" s="704">
        <v>3</v>
      </c>
    </row>
    <row r="15" spans="1:20" s="692" customFormat="1" ht="32.25" customHeight="1">
      <c r="A15" s="691">
        <v>2</v>
      </c>
      <c r="B15" s="696" t="s">
        <v>806</v>
      </c>
      <c r="C15" s="702">
        <f aca="true" t="shared" si="2" ref="C15:C28">SUM(D15:J15)</f>
        <v>18</v>
      </c>
      <c r="D15" s="702"/>
      <c r="E15" s="702"/>
      <c r="F15" s="702">
        <v>15</v>
      </c>
      <c r="G15" s="702">
        <v>2</v>
      </c>
      <c r="H15" s="702"/>
      <c r="I15" s="703">
        <v>1</v>
      </c>
      <c r="J15" s="703"/>
      <c r="K15" s="703"/>
      <c r="L15" s="703"/>
      <c r="M15" s="702">
        <v>4</v>
      </c>
      <c r="N15" s="702"/>
      <c r="O15" s="702">
        <v>3</v>
      </c>
      <c r="P15" s="702"/>
      <c r="Q15" s="702">
        <v>7</v>
      </c>
      <c r="R15" s="704">
        <v>1</v>
      </c>
      <c r="S15" s="704">
        <v>4</v>
      </c>
      <c r="T15" s="704">
        <v>5</v>
      </c>
    </row>
    <row r="16" spans="1:20" s="692" customFormat="1" ht="32.25" customHeight="1">
      <c r="A16" s="691">
        <v>3</v>
      </c>
      <c r="B16" s="696" t="s">
        <v>751</v>
      </c>
      <c r="C16" s="702">
        <f t="shared" si="2"/>
        <v>16</v>
      </c>
      <c r="D16" s="702">
        <v>0</v>
      </c>
      <c r="E16" s="702"/>
      <c r="F16" s="702">
        <v>13</v>
      </c>
      <c r="G16" s="702">
        <v>2</v>
      </c>
      <c r="H16" s="702"/>
      <c r="I16" s="703">
        <v>1</v>
      </c>
      <c r="J16" s="703"/>
      <c r="K16" s="703"/>
      <c r="L16" s="703"/>
      <c r="M16" s="702">
        <v>7</v>
      </c>
      <c r="N16" s="702">
        <v>1</v>
      </c>
      <c r="O16" s="702">
        <v>4</v>
      </c>
      <c r="P16" s="702"/>
      <c r="Q16" s="702">
        <v>9</v>
      </c>
      <c r="R16" s="704">
        <v>1</v>
      </c>
      <c r="S16" s="704">
        <v>2</v>
      </c>
      <c r="T16" s="704">
        <v>4</v>
      </c>
    </row>
    <row r="17" spans="1:20" s="692" customFormat="1" ht="32.25" customHeight="1">
      <c r="A17" s="691">
        <v>4</v>
      </c>
      <c r="B17" s="696" t="s">
        <v>807</v>
      </c>
      <c r="C17" s="702">
        <f t="shared" si="2"/>
        <v>10</v>
      </c>
      <c r="D17" s="702"/>
      <c r="E17" s="702"/>
      <c r="F17" s="702">
        <v>7</v>
      </c>
      <c r="G17" s="702">
        <v>2</v>
      </c>
      <c r="H17" s="702"/>
      <c r="I17" s="703">
        <v>1</v>
      </c>
      <c r="J17" s="703"/>
      <c r="K17" s="703"/>
      <c r="L17" s="703"/>
      <c r="M17" s="702">
        <v>3</v>
      </c>
      <c r="N17" s="702"/>
      <c r="O17" s="702">
        <v>3</v>
      </c>
      <c r="P17" s="702"/>
      <c r="Q17" s="702">
        <v>5</v>
      </c>
      <c r="R17" s="704"/>
      <c r="S17" s="704">
        <v>1</v>
      </c>
      <c r="T17" s="704">
        <v>4</v>
      </c>
    </row>
    <row r="18" spans="1:20" s="692" customFormat="1" ht="32.25" customHeight="1">
      <c r="A18" s="691">
        <v>5</v>
      </c>
      <c r="B18" s="696" t="s">
        <v>808</v>
      </c>
      <c r="C18" s="702">
        <f t="shared" si="2"/>
        <v>6</v>
      </c>
      <c r="D18" s="702"/>
      <c r="E18" s="702"/>
      <c r="F18" s="702">
        <v>4</v>
      </c>
      <c r="G18" s="702">
        <v>1</v>
      </c>
      <c r="H18" s="702">
        <v>1</v>
      </c>
      <c r="I18" s="703"/>
      <c r="J18" s="703"/>
      <c r="K18" s="703"/>
      <c r="L18" s="703">
        <v>1</v>
      </c>
      <c r="M18" s="702">
        <v>2</v>
      </c>
      <c r="N18" s="702"/>
      <c r="O18" s="702">
        <v>4</v>
      </c>
      <c r="P18" s="702"/>
      <c r="Q18" s="702">
        <v>4</v>
      </c>
      <c r="R18" s="704"/>
      <c r="S18" s="704">
        <v>1</v>
      </c>
      <c r="T18" s="704">
        <v>1</v>
      </c>
    </row>
    <row r="19" spans="1:20" s="692" customFormat="1" ht="32.25" customHeight="1">
      <c r="A19" s="691">
        <v>6</v>
      </c>
      <c r="B19" s="696" t="s">
        <v>809</v>
      </c>
      <c r="C19" s="702">
        <f t="shared" si="2"/>
        <v>9</v>
      </c>
      <c r="D19" s="702"/>
      <c r="E19" s="702"/>
      <c r="F19" s="702">
        <v>7</v>
      </c>
      <c r="G19" s="702">
        <v>1</v>
      </c>
      <c r="H19" s="702"/>
      <c r="I19" s="703">
        <v>1</v>
      </c>
      <c r="J19" s="703"/>
      <c r="K19" s="703"/>
      <c r="L19" s="703"/>
      <c r="M19" s="702">
        <v>2</v>
      </c>
      <c r="N19" s="702"/>
      <c r="O19" s="702">
        <v>4</v>
      </c>
      <c r="P19" s="702"/>
      <c r="Q19" s="702">
        <v>4</v>
      </c>
      <c r="R19" s="704"/>
      <c r="S19" s="704">
        <v>1</v>
      </c>
      <c r="T19" s="704">
        <v>1</v>
      </c>
    </row>
    <row r="20" spans="1:20" s="692" customFormat="1" ht="32.25" customHeight="1">
      <c r="A20" s="691">
        <v>7</v>
      </c>
      <c r="B20" s="696" t="s">
        <v>709</v>
      </c>
      <c r="C20" s="702">
        <f t="shared" si="2"/>
        <v>8</v>
      </c>
      <c r="D20" s="702"/>
      <c r="E20" s="702"/>
      <c r="F20" s="702">
        <v>6</v>
      </c>
      <c r="G20" s="702">
        <v>2</v>
      </c>
      <c r="H20" s="702"/>
      <c r="I20" s="703"/>
      <c r="J20" s="703"/>
      <c r="K20" s="703"/>
      <c r="L20" s="703"/>
      <c r="M20" s="702">
        <v>4</v>
      </c>
      <c r="N20" s="702"/>
      <c r="O20" s="702">
        <v>4</v>
      </c>
      <c r="P20" s="702"/>
      <c r="Q20" s="702">
        <v>3</v>
      </c>
      <c r="R20" s="704">
        <v>1</v>
      </c>
      <c r="S20" s="704">
        <v>2</v>
      </c>
      <c r="T20" s="704">
        <v>2</v>
      </c>
    </row>
    <row r="21" spans="1:20" s="692" customFormat="1" ht="32.25" customHeight="1">
      <c r="A21" s="691">
        <v>8</v>
      </c>
      <c r="B21" s="696" t="s">
        <v>810</v>
      </c>
      <c r="C21" s="702">
        <f t="shared" si="2"/>
        <v>13</v>
      </c>
      <c r="D21" s="702"/>
      <c r="E21" s="702"/>
      <c r="F21" s="702">
        <v>10</v>
      </c>
      <c r="G21" s="702">
        <v>1</v>
      </c>
      <c r="H21" s="702"/>
      <c r="I21" s="703">
        <v>2</v>
      </c>
      <c r="J21" s="703"/>
      <c r="K21" s="703"/>
      <c r="L21" s="703">
        <v>1</v>
      </c>
      <c r="M21" s="702">
        <v>1</v>
      </c>
      <c r="N21" s="702"/>
      <c r="O21" s="702">
        <v>2</v>
      </c>
      <c r="P21" s="702"/>
      <c r="Q21" s="702">
        <v>5</v>
      </c>
      <c r="R21" s="704"/>
      <c r="S21" s="704">
        <v>5</v>
      </c>
      <c r="T21" s="704">
        <v>3</v>
      </c>
    </row>
    <row r="22" spans="1:20" s="692" customFormat="1" ht="32.25" customHeight="1">
      <c r="A22" s="691">
        <v>9</v>
      </c>
      <c r="B22" s="696" t="s">
        <v>811</v>
      </c>
      <c r="C22" s="702">
        <f t="shared" si="2"/>
        <v>8</v>
      </c>
      <c r="D22" s="702"/>
      <c r="E22" s="702"/>
      <c r="F22" s="702">
        <v>6</v>
      </c>
      <c r="G22" s="702">
        <v>1</v>
      </c>
      <c r="H22" s="702"/>
      <c r="I22" s="703">
        <v>1</v>
      </c>
      <c r="J22" s="703"/>
      <c r="K22" s="703"/>
      <c r="L22" s="703"/>
      <c r="M22" s="702">
        <v>6</v>
      </c>
      <c r="N22" s="702"/>
      <c r="O22" s="702">
        <v>5</v>
      </c>
      <c r="P22" s="702"/>
      <c r="Q22" s="702">
        <v>4</v>
      </c>
      <c r="R22" s="704">
        <v>1</v>
      </c>
      <c r="S22" s="704">
        <v>1</v>
      </c>
      <c r="T22" s="704">
        <v>2</v>
      </c>
    </row>
    <row r="23" spans="1:20" s="692" customFormat="1" ht="32.25" customHeight="1">
      <c r="A23" s="691">
        <v>10</v>
      </c>
      <c r="B23" s="696" t="s">
        <v>812</v>
      </c>
      <c r="C23" s="702">
        <f t="shared" si="2"/>
        <v>10</v>
      </c>
      <c r="D23" s="702"/>
      <c r="E23" s="702"/>
      <c r="F23" s="702">
        <v>7</v>
      </c>
      <c r="G23" s="702">
        <v>2</v>
      </c>
      <c r="H23" s="702"/>
      <c r="I23" s="703">
        <v>1</v>
      </c>
      <c r="J23" s="703"/>
      <c r="K23" s="703"/>
      <c r="L23" s="703"/>
      <c r="M23" s="702">
        <v>8</v>
      </c>
      <c r="N23" s="702"/>
      <c r="O23" s="702">
        <v>3</v>
      </c>
      <c r="P23" s="702"/>
      <c r="Q23" s="702">
        <v>2</v>
      </c>
      <c r="R23" s="704">
        <v>0</v>
      </c>
      <c r="S23" s="704">
        <v>5</v>
      </c>
      <c r="T23" s="704">
        <v>3</v>
      </c>
    </row>
    <row r="24" spans="1:20" s="692" customFormat="1" ht="32.25" customHeight="1">
      <c r="A24" s="691">
        <v>11</v>
      </c>
      <c r="B24" s="696" t="s">
        <v>813</v>
      </c>
      <c r="C24" s="702">
        <f t="shared" si="2"/>
        <v>8</v>
      </c>
      <c r="D24" s="702">
        <v>1</v>
      </c>
      <c r="E24" s="702"/>
      <c r="F24" s="702">
        <v>5</v>
      </c>
      <c r="G24" s="702">
        <v>1</v>
      </c>
      <c r="H24" s="702"/>
      <c r="I24" s="703">
        <v>1</v>
      </c>
      <c r="J24" s="703"/>
      <c r="K24" s="703"/>
      <c r="L24" s="703">
        <v>1</v>
      </c>
      <c r="M24" s="702">
        <v>2</v>
      </c>
      <c r="N24" s="702"/>
      <c r="O24" s="702">
        <v>2</v>
      </c>
      <c r="P24" s="702"/>
      <c r="Q24" s="702">
        <v>2</v>
      </c>
      <c r="R24" s="704">
        <v>1</v>
      </c>
      <c r="S24" s="704">
        <v>3</v>
      </c>
      <c r="T24" s="704">
        <v>2</v>
      </c>
    </row>
    <row r="25" spans="1:20" s="692" customFormat="1" ht="32.25" customHeight="1">
      <c r="A25" s="691">
        <v>12</v>
      </c>
      <c r="B25" s="696" t="s">
        <v>814</v>
      </c>
      <c r="C25" s="702">
        <f t="shared" si="2"/>
        <v>21</v>
      </c>
      <c r="D25" s="702">
        <v>1</v>
      </c>
      <c r="E25" s="702"/>
      <c r="F25" s="702">
        <v>15</v>
      </c>
      <c r="G25" s="702">
        <v>2</v>
      </c>
      <c r="H25" s="702">
        <v>2</v>
      </c>
      <c r="I25" s="703">
        <v>1</v>
      </c>
      <c r="J25" s="703"/>
      <c r="K25" s="703"/>
      <c r="L25" s="703">
        <v>1</v>
      </c>
      <c r="M25" s="702">
        <v>4</v>
      </c>
      <c r="N25" s="702"/>
      <c r="O25" s="702">
        <v>4</v>
      </c>
      <c r="P25" s="702"/>
      <c r="Q25" s="702">
        <v>8</v>
      </c>
      <c r="R25" s="704">
        <v>1</v>
      </c>
      <c r="S25" s="704">
        <v>7</v>
      </c>
      <c r="T25" s="704">
        <v>5</v>
      </c>
    </row>
    <row r="26" spans="1:20" s="692" customFormat="1" ht="32.25" customHeight="1">
      <c r="A26" s="691">
        <v>13</v>
      </c>
      <c r="B26" s="696" t="s">
        <v>815</v>
      </c>
      <c r="C26" s="702">
        <f t="shared" si="2"/>
        <v>8</v>
      </c>
      <c r="D26" s="702"/>
      <c r="E26" s="702"/>
      <c r="F26" s="702">
        <v>7</v>
      </c>
      <c r="G26" s="702">
        <v>1</v>
      </c>
      <c r="H26" s="702"/>
      <c r="I26" s="703"/>
      <c r="J26" s="703"/>
      <c r="K26" s="703"/>
      <c r="L26" s="703"/>
      <c r="M26" s="702">
        <v>4</v>
      </c>
      <c r="N26" s="702"/>
      <c r="O26" s="702">
        <v>4</v>
      </c>
      <c r="P26" s="702"/>
      <c r="Q26" s="702">
        <v>4</v>
      </c>
      <c r="R26" s="704"/>
      <c r="S26" s="704">
        <v>3</v>
      </c>
      <c r="T26" s="704">
        <v>1</v>
      </c>
    </row>
    <row r="27" spans="1:20" s="692" customFormat="1" ht="32.25" customHeight="1">
      <c r="A27" s="691">
        <v>14</v>
      </c>
      <c r="B27" s="696" t="s">
        <v>816</v>
      </c>
      <c r="C27" s="702">
        <f t="shared" si="2"/>
        <v>5</v>
      </c>
      <c r="D27" s="702"/>
      <c r="E27" s="702"/>
      <c r="F27" s="702">
        <v>3</v>
      </c>
      <c r="G27" s="702">
        <v>1</v>
      </c>
      <c r="H27" s="702"/>
      <c r="I27" s="703">
        <v>1</v>
      </c>
      <c r="J27" s="703"/>
      <c r="K27" s="703"/>
      <c r="L27" s="703"/>
      <c r="M27" s="702">
        <v>2</v>
      </c>
      <c r="N27" s="702"/>
      <c r="O27" s="702">
        <v>3</v>
      </c>
      <c r="P27" s="702"/>
      <c r="Q27" s="702">
        <v>2</v>
      </c>
      <c r="R27" s="704">
        <v>1</v>
      </c>
      <c r="S27" s="704"/>
      <c r="T27" s="704">
        <v>2</v>
      </c>
    </row>
    <row r="28" spans="1:20" s="692" customFormat="1" ht="32.25" customHeight="1">
      <c r="A28" s="691">
        <v>15</v>
      </c>
      <c r="B28" s="696" t="s">
        <v>817</v>
      </c>
      <c r="C28" s="702">
        <f t="shared" si="2"/>
        <v>3</v>
      </c>
      <c r="D28" s="702"/>
      <c r="E28" s="702"/>
      <c r="F28" s="702">
        <v>2</v>
      </c>
      <c r="G28" s="702">
        <v>1</v>
      </c>
      <c r="H28" s="702"/>
      <c r="I28" s="703"/>
      <c r="J28" s="703"/>
      <c r="K28" s="703"/>
      <c r="L28" s="703"/>
      <c r="M28" s="702">
        <v>1</v>
      </c>
      <c r="N28" s="702"/>
      <c r="O28" s="702">
        <v>2</v>
      </c>
      <c r="P28" s="702"/>
      <c r="Q28" s="702">
        <v>1</v>
      </c>
      <c r="R28" s="704"/>
      <c r="S28" s="704">
        <v>1</v>
      </c>
      <c r="T28" s="704">
        <v>1</v>
      </c>
    </row>
    <row r="29" spans="1:17" ht="6.75" customHeight="1">
      <c r="A29" s="583"/>
      <c r="B29" s="583"/>
      <c r="C29" s="583"/>
      <c r="D29" s="583"/>
      <c r="E29" s="583"/>
      <c r="F29" s="583"/>
      <c r="G29" s="583"/>
      <c r="H29" s="583"/>
      <c r="I29" s="583"/>
      <c r="J29" s="583"/>
      <c r="K29" s="583"/>
      <c r="L29" s="583"/>
      <c r="M29" s="583"/>
      <c r="N29" s="583"/>
      <c r="O29" s="583"/>
      <c r="P29" s="583"/>
      <c r="Q29" s="583"/>
    </row>
    <row r="30" spans="1:20" ht="15.75" customHeight="1">
      <c r="A30" s="579"/>
      <c r="B30" s="1798"/>
      <c r="C30" s="1798"/>
      <c r="D30" s="1798"/>
      <c r="E30" s="1798"/>
      <c r="F30" s="1798"/>
      <c r="G30" s="600"/>
      <c r="H30" s="600"/>
      <c r="I30" s="600"/>
      <c r="J30" s="600"/>
      <c r="K30" s="600"/>
      <c r="L30" s="618"/>
      <c r="M30" s="1761" t="str">
        <f>'Thong tin'!B8</f>
        <v>Hải Phòng, ngày 03 tháng 8 năm 2017</v>
      </c>
      <c r="N30" s="1761"/>
      <c r="O30" s="1761"/>
      <c r="P30" s="1761"/>
      <c r="Q30" s="1761"/>
      <c r="R30" s="1761"/>
      <c r="S30" s="1761"/>
      <c r="T30" s="1761"/>
    </row>
    <row r="31" spans="1:20" ht="18.75" customHeight="1">
      <c r="A31" s="579"/>
      <c r="B31" s="1801" t="s">
        <v>250</v>
      </c>
      <c r="C31" s="1801"/>
      <c r="D31" s="1801"/>
      <c r="E31" s="1801"/>
      <c r="F31" s="580"/>
      <c r="G31" s="580"/>
      <c r="H31" s="580"/>
      <c r="I31" s="580"/>
      <c r="J31" s="580"/>
      <c r="K31" s="580"/>
      <c r="L31" s="618"/>
      <c r="M31" s="1756" t="str">
        <f>'Thong tin'!B7</f>
        <v>
PHÓ CỤC TRƯỞNG</v>
      </c>
      <c r="N31" s="1756"/>
      <c r="O31" s="1756"/>
      <c r="P31" s="1756"/>
      <c r="Q31" s="1756"/>
      <c r="R31" s="1756"/>
      <c r="S31" s="1756"/>
      <c r="T31" s="1756"/>
    </row>
    <row r="32" spans="1:20" ht="18.75" customHeight="1">
      <c r="A32" s="579"/>
      <c r="B32" s="581"/>
      <c r="C32" s="581"/>
      <c r="D32" s="581"/>
      <c r="E32" s="581"/>
      <c r="F32" s="580"/>
      <c r="G32" s="580"/>
      <c r="H32" s="580"/>
      <c r="I32" s="580"/>
      <c r="J32" s="580"/>
      <c r="K32" s="580"/>
      <c r="L32" s="618"/>
      <c r="M32" s="582"/>
      <c r="N32" s="582"/>
      <c r="O32" s="582"/>
      <c r="P32" s="582"/>
      <c r="Q32" s="582"/>
      <c r="R32" s="582"/>
      <c r="S32" s="582"/>
      <c r="T32" s="582"/>
    </row>
    <row r="33" spans="1:20" ht="18.75" customHeight="1">
      <c r="A33" s="579"/>
      <c r="B33" s="581"/>
      <c r="C33" s="581"/>
      <c r="D33" s="581"/>
      <c r="E33" s="581"/>
      <c r="F33" s="580"/>
      <c r="G33" s="580"/>
      <c r="H33" s="580"/>
      <c r="I33" s="580"/>
      <c r="J33" s="580"/>
      <c r="K33" s="580"/>
      <c r="L33" s="618"/>
      <c r="M33" s="582"/>
      <c r="N33" s="582"/>
      <c r="O33" s="582"/>
      <c r="P33" s="582"/>
      <c r="Q33" s="582"/>
      <c r="R33" s="582"/>
      <c r="S33" s="582"/>
      <c r="T33" s="582"/>
    </row>
    <row r="34" spans="1:20" ht="18.75">
      <c r="A34" s="583"/>
      <c r="B34" s="619"/>
      <c r="C34" s="619"/>
      <c r="D34" s="619"/>
      <c r="E34" s="619"/>
      <c r="F34" s="619"/>
      <c r="G34" s="619"/>
      <c r="H34" s="619"/>
      <c r="I34" s="619"/>
      <c r="J34" s="619"/>
      <c r="K34" s="619"/>
      <c r="L34" s="619"/>
      <c r="M34" s="619"/>
      <c r="N34" s="619"/>
      <c r="O34" s="619"/>
      <c r="P34" s="619"/>
      <c r="Q34" s="619"/>
      <c r="R34" s="618"/>
      <c r="S34" s="618"/>
      <c r="T34" s="618"/>
    </row>
    <row r="35" spans="2:20" ht="18">
      <c r="B35" s="1802"/>
      <c r="C35" s="1802"/>
      <c r="D35" s="1802"/>
      <c r="E35" s="1802"/>
      <c r="F35" s="1802"/>
      <c r="G35" s="622"/>
      <c r="H35" s="622"/>
      <c r="I35" s="622"/>
      <c r="J35" s="622"/>
      <c r="K35" s="622"/>
      <c r="L35" s="622"/>
      <c r="M35" s="622"/>
      <c r="N35" s="1802"/>
      <c r="O35" s="1802"/>
      <c r="P35" s="1802"/>
      <c r="Q35" s="1802"/>
      <c r="R35" s="1802"/>
      <c r="S35" s="1802"/>
      <c r="T35" s="618"/>
    </row>
    <row r="36" spans="2:20" ht="18">
      <c r="B36" s="618"/>
      <c r="C36" s="618"/>
      <c r="D36" s="618"/>
      <c r="E36" s="618"/>
      <c r="F36" s="618"/>
      <c r="G36" s="618"/>
      <c r="H36" s="618"/>
      <c r="I36" s="618"/>
      <c r="J36" s="618"/>
      <c r="K36" s="618"/>
      <c r="L36" s="618"/>
      <c r="M36" s="618"/>
      <c r="N36" s="618"/>
      <c r="O36" s="618"/>
      <c r="P36" s="618"/>
      <c r="Q36" s="618"/>
      <c r="R36" s="618"/>
      <c r="S36" s="618"/>
      <c r="T36" s="618"/>
    </row>
    <row r="37" spans="2:20" ht="18.75">
      <c r="B37" s="1683" t="str">
        <f>'Thong tin'!B5</f>
        <v>Trần Thị Minh</v>
      </c>
      <c r="C37" s="1683"/>
      <c r="D37" s="1683"/>
      <c r="E37" s="1683"/>
      <c r="F37" s="623"/>
      <c r="G37" s="623"/>
      <c r="H37" s="623"/>
      <c r="I37" s="618"/>
      <c r="J37" s="618"/>
      <c r="K37" s="618"/>
      <c r="L37" s="618"/>
      <c r="M37" s="1683" t="str">
        <f>'Thong tin'!B6</f>
        <v>Nguyễn Thị Mai Hoa</v>
      </c>
      <c r="N37" s="1683"/>
      <c r="O37" s="1683"/>
      <c r="P37" s="1683"/>
      <c r="Q37" s="1683"/>
      <c r="R37" s="1683"/>
      <c r="S37" s="1683"/>
      <c r="T37" s="1683"/>
    </row>
    <row r="38" spans="2:20" ht="18.75">
      <c r="B38" s="555"/>
      <c r="C38" s="555"/>
      <c r="D38" s="555"/>
      <c r="E38" s="555"/>
      <c r="F38" s="584"/>
      <c r="G38" s="584"/>
      <c r="H38" s="584"/>
      <c r="I38" s="569"/>
      <c r="J38" s="569"/>
      <c r="K38" s="569"/>
      <c r="L38" s="569"/>
      <c r="M38" s="553"/>
      <c r="N38" s="553"/>
      <c r="O38" s="553"/>
      <c r="P38" s="553"/>
      <c r="Q38" s="553"/>
      <c r="R38" s="553"/>
      <c r="S38" s="553"/>
      <c r="T38" s="553"/>
    </row>
    <row r="39" spans="2:20" ht="18.75">
      <c r="B39" s="555"/>
      <c r="C39" s="555"/>
      <c r="D39" s="555"/>
      <c r="E39" s="555"/>
      <c r="F39" s="584"/>
      <c r="G39" s="584"/>
      <c r="H39" s="584"/>
      <c r="I39" s="569"/>
      <c r="J39" s="569"/>
      <c r="K39" s="569"/>
      <c r="L39" s="569"/>
      <c r="M39" s="553"/>
      <c r="N39" s="553"/>
      <c r="O39" s="553"/>
      <c r="P39" s="553"/>
      <c r="Q39" s="553"/>
      <c r="R39" s="553"/>
      <c r="S39" s="553"/>
      <c r="T39" s="553"/>
    </row>
    <row r="40" s="602" customFormat="1" ht="15" hidden="1">
      <c r="A40" s="601" t="s">
        <v>226</v>
      </c>
    </row>
    <row r="41" spans="2:8" s="603" customFormat="1" ht="15" hidden="1">
      <c r="B41" s="604" t="s">
        <v>278</v>
      </c>
      <c r="C41" s="604"/>
      <c r="D41" s="604"/>
      <c r="E41" s="604"/>
      <c r="F41" s="604"/>
      <c r="G41" s="604"/>
      <c r="H41" s="604"/>
    </row>
    <row r="42" spans="2:8" s="605" customFormat="1" ht="15" hidden="1">
      <c r="B42" s="604" t="s">
        <v>279</v>
      </c>
      <c r="C42" s="573"/>
      <c r="D42" s="573"/>
      <c r="E42" s="573"/>
      <c r="F42" s="573"/>
      <c r="G42" s="573"/>
      <c r="H42" s="573"/>
    </row>
    <row r="43" ht="12.75" hidden="1"/>
    <row r="44" ht="12.75" hidden="1"/>
    <row r="45" ht="12.75" hidden="1"/>
    <row r="46" ht="12.75" hidden="1"/>
    <row r="47" ht="12.75" hidden="1"/>
  </sheetData>
  <sheetProtection/>
  <mergeCells count="40">
    <mergeCell ref="B37:E37"/>
    <mergeCell ref="M37:T37"/>
    <mergeCell ref="B31:E31"/>
    <mergeCell ref="M31:T31"/>
    <mergeCell ref="B35:F35"/>
    <mergeCell ref="N35:S35"/>
    <mergeCell ref="A11:B11"/>
    <mergeCell ref="B30:F30"/>
    <mergeCell ref="M30:T30"/>
    <mergeCell ref="D8:D9"/>
    <mergeCell ref="E8:E9"/>
    <mergeCell ref="F8:F9"/>
    <mergeCell ref="G8:G9"/>
    <mergeCell ref="H8:H9"/>
    <mergeCell ref="N7:P8"/>
    <mergeCell ref="A10:B10"/>
    <mergeCell ref="Q7:Q9"/>
    <mergeCell ref="R7:R9"/>
    <mergeCell ref="K5:T6"/>
    <mergeCell ref="D6:J6"/>
    <mergeCell ref="S7:S9"/>
    <mergeCell ref="T7:T9"/>
    <mergeCell ref="D7:E7"/>
    <mergeCell ref="F7:G7"/>
    <mergeCell ref="H7:I7"/>
    <mergeCell ref="J7:J9"/>
    <mergeCell ref="K7:M8"/>
    <mergeCell ref="E3:N3"/>
    <mergeCell ref="A3:D3"/>
    <mergeCell ref="A5:B9"/>
    <mergeCell ref="C5:C9"/>
    <mergeCell ref="D5:J5"/>
    <mergeCell ref="I8:I9"/>
    <mergeCell ref="A2:D2"/>
    <mergeCell ref="E2:N2"/>
    <mergeCell ref="P2:T2"/>
    <mergeCell ref="P3:T3"/>
    <mergeCell ref="P4:T4"/>
    <mergeCell ref="E1:N1"/>
    <mergeCell ref="P1:T1"/>
  </mergeCells>
  <printOptions horizontalCentered="1"/>
  <pageMargins left="0.4" right="0.21" top="0.27" bottom="0.15" header="0.2" footer="0.18"/>
  <pageSetup horizontalDpi="600" verticalDpi="600" orientation="landscape" paperSize="9" scale="95" r:id="rId2"/>
  <ignoredErrors>
    <ignoredError sqref="C12:C13" formulaRange="1"/>
  </ignoredErrors>
  <drawing r:id="rId1"/>
</worksheet>
</file>

<file path=xl/worksheets/sheet31.xml><?xml version="1.0" encoding="utf-8"?>
<worksheet xmlns="http://schemas.openxmlformats.org/spreadsheetml/2006/main" xmlns:r="http://schemas.openxmlformats.org/officeDocument/2006/relationships">
  <sheetPr>
    <tabColor indexed="39"/>
  </sheetPr>
  <dimension ref="A1:P42"/>
  <sheetViews>
    <sheetView view="pageBreakPreview" zoomScale="85" zoomScaleSheetLayoutView="85" zoomScalePageLayoutView="0" workbookViewId="0" topLeftCell="A16">
      <selection activeCell="F9" sqref="F9"/>
    </sheetView>
  </sheetViews>
  <sheetFormatPr defaultColWidth="9.00390625" defaultRowHeight="15.75"/>
  <cols>
    <col min="1" max="1" width="4.75390625" style="1000" customWidth="1"/>
    <col min="2" max="2" width="24.50390625" style="1000" customWidth="1"/>
    <col min="3" max="3" width="10.75390625" style="982" customWidth="1"/>
    <col min="4" max="4" width="10.50390625" style="982" customWidth="1"/>
    <col min="5" max="5" width="10.00390625" style="982" customWidth="1"/>
    <col min="6" max="6" width="10.75390625" style="982" customWidth="1"/>
    <col min="7" max="7" width="10.625" style="982" customWidth="1"/>
    <col min="8" max="8" width="12.375" style="982" customWidth="1"/>
    <col min="9" max="9" width="11.50390625" style="982" customWidth="1"/>
    <col min="10" max="10" width="10.00390625" style="982" customWidth="1"/>
    <col min="11" max="11" width="12.375" style="982" customWidth="1"/>
    <col min="12" max="12" width="10.75390625" style="982" customWidth="1"/>
    <col min="13" max="16384" width="9.00390625" style="982" customWidth="1"/>
  </cols>
  <sheetData>
    <row r="1" spans="1:12" ht="21" customHeight="1">
      <c r="A1" s="1648" t="s">
        <v>280</v>
      </c>
      <c r="B1" s="1648"/>
      <c r="C1" s="996"/>
      <c r="D1" s="1696" t="s">
        <v>668</v>
      </c>
      <c r="E1" s="1696"/>
      <c r="F1" s="1696"/>
      <c r="G1" s="1696"/>
      <c r="H1" s="1696"/>
      <c r="I1" s="1696"/>
      <c r="J1" s="1907" t="s">
        <v>866</v>
      </c>
      <c r="K1" s="1908"/>
      <c r="L1" s="1908"/>
    </row>
    <row r="2" spans="1:12" ht="15.75" customHeight="1">
      <c r="A2" s="1669" t="s">
        <v>344</v>
      </c>
      <c r="B2" s="1669"/>
      <c r="C2" s="1669"/>
      <c r="D2" s="1696"/>
      <c r="E2" s="1696"/>
      <c r="F2" s="1696"/>
      <c r="G2" s="1696"/>
      <c r="H2" s="1696"/>
      <c r="I2" s="1696"/>
      <c r="J2" s="1811" t="str">
        <f>'Thong tin'!B4</f>
        <v>CTHADS Hải Phòng</v>
      </c>
      <c r="K2" s="1811"/>
      <c r="L2" s="1811"/>
    </row>
    <row r="3" spans="1:12" ht="18.75" customHeight="1">
      <c r="A3" s="997" t="s">
        <v>673</v>
      </c>
      <c r="B3" s="998"/>
      <c r="C3" s="998"/>
      <c r="D3" s="1724" t="str">
        <f>'Thong tin'!B3</f>
        <v>10 tháng / năm 2017</v>
      </c>
      <c r="E3" s="1724"/>
      <c r="F3" s="1724"/>
      <c r="G3" s="1724"/>
      <c r="H3" s="1724"/>
      <c r="I3" s="1724"/>
      <c r="J3" s="1909" t="s">
        <v>468</v>
      </c>
      <c r="K3" s="1910"/>
      <c r="L3" s="1910"/>
    </row>
    <row r="4" spans="1:12" ht="16.5" customHeight="1">
      <c r="A4" s="1650" t="s">
        <v>402</v>
      </c>
      <c r="B4" s="1650"/>
      <c r="C4" s="1650"/>
      <c r="D4" s="999"/>
      <c r="E4" s="999"/>
      <c r="F4" s="999"/>
      <c r="G4" s="999"/>
      <c r="H4" s="999"/>
      <c r="I4" s="999"/>
      <c r="J4" s="1911" t="s">
        <v>412</v>
      </c>
      <c r="K4" s="1912"/>
      <c r="L4" s="1912"/>
    </row>
    <row r="5" spans="3:12" ht="15.75" customHeight="1">
      <c r="C5" s="1001"/>
      <c r="D5" s="1001"/>
      <c r="H5" s="1002"/>
      <c r="I5" s="1002"/>
      <c r="J5" s="1806" t="s">
        <v>281</v>
      </c>
      <c r="K5" s="1806"/>
      <c r="L5" s="1806"/>
    </row>
    <row r="6" spans="2:12" ht="15" customHeight="1">
      <c r="B6" s="1003"/>
      <c r="C6" s="1001"/>
      <c r="D6" s="1001"/>
      <c r="E6" s="1004"/>
      <c r="F6" s="1004"/>
      <c r="G6" s="1004"/>
      <c r="H6" s="1002"/>
      <c r="I6" s="1002"/>
      <c r="J6" s="1139"/>
      <c r="K6" s="1139"/>
      <c r="L6" s="1139"/>
    </row>
    <row r="7" spans="3:12" ht="15" customHeight="1">
      <c r="C7" s="1005"/>
      <c r="D7" s="1005"/>
      <c r="H7" s="1006"/>
      <c r="I7" s="1006"/>
      <c r="J7" s="1007"/>
      <c r="K7" s="1007"/>
      <c r="L7" s="1007"/>
    </row>
    <row r="8" spans="1:12" ht="15" customHeight="1">
      <c r="A8" s="1807" t="s">
        <v>72</v>
      </c>
      <c r="B8" s="1807"/>
      <c r="C8" s="1803" t="s">
        <v>38</v>
      </c>
      <c r="D8" s="1803" t="s">
        <v>282</v>
      </c>
      <c r="E8" s="1803"/>
      <c r="F8" s="1803"/>
      <c r="G8" s="1803"/>
      <c r="H8" s="1803" t="s">
        <v>283</v>
      </c>
      <c r="I8" s="1803"/>
      <c r="J8" s="1803" t="s">
        <v>284</v>
      </c>
      <c r="K8" s="1803"/>
      <c r="L8" s="1803"/>
    </row>
    <row r="9" spans="1:12" ht="50.25" customHeight="1">
      <c r="A9" s="1807"/>
      <c r="B9" s="1807"/>
      <c r="C9" s="1803"/>
      <c r="D9" s="967" t="s">
        <v>285</v>
      </c>
      <c r="E9" s="967" t="s">
        <v>286</v>
      </c>
      <c r="F9" s="967" t="s">
        <v>435</v>
      </c>
      <c r="G9" s="967" t="s">
        <v>287</v>
      </c>
      <c r="H9" s="967" t="s">
        <v>288</v>
      </c>
      <c r="I9" s="967" t="s">
        <v>289</v>
      </c>
      <c r="J9" s="967" t="s">
        <v>290</v>
      </c>
      <c r="K9" s="967" t="s">
        <v>291</v>
      </c>
      <c r="L9" s="967" t="s">
        <v>292</v>
      </c>
    </row>
    <row r="10" spans="1:12" s="989" customFormat="1" ht="15" customHeight="1">
      <c r="A10" s="1810" t="s">
        <v>6</v>
      </c>
      <c r="B10" s="1810"/>
      <c r="C10" s="970">
        <v>1</v>
      </c>
      <c r="D10" s="970">
        <v>2</v>
      </c>
      <c r="E10" s="970">
        <v>3</v>
      </c>
      <c r="F10" s="970">
        <v>4</v>
      </c>
      <c r="G10" s="970">
        <v>5</v>
      </c>
      <c r="H10" s="970">
        <v>6</v>
      </c>
      <c r="I10" s="970">
        <v>7</v>
      </c>
      <c r="J10" s="970">
        <v>8</v>
      </c>
      <c r="K10" s="970">
        <v>9</v>
      </c>
      <c r="L10" s="970">
        <v>10</v>
      </c>
    </row>
    <row r="11" spans="1:12" s="989" customFormat="1" ht="15" customHeight="1">
      <c r="A11" s="1809" t="s">
        <v>672</v>
      </c>
      <c r="B11" s="1809"/>
      <c r="C11" s="990">
        <f>C12+C13</f>
        <v>2</v>
      </c>
      <c r="D11" s="990">
        <f aca="true" t="shared" si="0" ref="D11:L11">D12+D13</f>
        <v>0</v>
      </c>
      <c r="E11" s="990">
        <f t="shared" si="0"/>
        <v>2</v>
      </c>
      <c r="F11" s="990">
        <f t="shared" si="0"/>
        <v>0</v>
      </c>
      <c r="G11" s="990">
        <f t="shared" si="0"/>
        <v>0</v>
      </c>
      <c r="H11" s="990">
        <f t="shared" si="0"/>
        <v>2</v>
      </c>
      <c r="I11" s="990">
        <f t="shared" si="0"/>
        <v>0</v>
      </c>
      <c r="J11" s="990">
        <f t="shared" si="0"/>
        <v>2</v>
      </c>
      <c r="K11" s="990">
        <f t="shared" si="0"/>
        <v>0</v>
      </c>
      <c r="L11" s="990">
        <f t="shared" si="0"/>
        <v>0</v>
      </c>
    </row>
    <row r="12" spans="1:12" s="989" customFormat="1" ht="15" customHeight="1">
      <c r="A12" s="933" t="s">
        <v>0</v>
      </c>
      <c r="B12" s="934" t="s">
        <v>786</v>
      </c>
      <c r="C12" s="990">
        <f>D12+E12+F12+G12</f>
        <v>1</v>
      </c>
      <c r="D12" s="990"/>
      <c r="E12" s="990">
        <v>1</v>
      </c>
      <c r="F12" s="990"/>
      <c r="G12" s="990"/>
      <c r="H12" s="990">
        <v>1</v>
      </c>
      <c r="I12" s="990"/>
      <c r="J12" s="990">
        <v>1</v>
      </c>
      <c r="K12" s="990"/>
      <c r="L12" s="1008"/>
    </row>
    <row r="13" spans="1:12" s="989" customFormat="1" ht="15" customHeight="1">
      <c r="A13" s="935" t="s">
        <v>1</v>
      </c>
      <c r="B13" s="934" t="s">
        <v>19</v>
      </c>
      <c r="C13" s="990">
        <f>SUM(C14:C28)</f>
        <v>1</v>
      </c>
      <c r="D13" s="990">
        <f aca="true" t="shared" si="1" ref="D13:L13">SUM(D14:D28)</f>
        <v>0</v>
      </c>
      <c r="E13" s="990">
        <f t="shared" si="1"/>
        <v>1</v>
      </c>
      <c r="F13" s="990">
        <f t="shared" si="1"/>
        <v>0</v>
      </c>
      <c r="G13" s="990">
        <f t="shared" si="1"/>
        <v>0</v>
      </c>
      <c r="H13" s="990">
        <f t="shared" si="1"/>
        <v>1</v>
      </c>
      <c r="I13" s="990">
        <f t="shared" si="1"/>
        <v>0</v>
      </c>
      <c r="J13" s="990">
        <f t="shared" si="1"/>
        <v>1</v>
      </c>
      <c r="K13" s="990">
        <f t="shared" si="1"/>
        <v>0</v>
      </c>
      <c r="L13" s="990">
        <f t="shared" si="1"/>
        <v>0</v>
      </c>
    </row>
    <row r="14" spans="1:12" s="989" customFormat="1" ht="15" customHeight="1">
      <c r="A14" s="900">
        <v>1</v>
      </c>
      <c r="B14" s="913" t="s">
        <v>787</v>
      </c>
      <c r="C14" s="990">
        <f aca="true" t="shared" si="2" ref="C14:C28">D14+E14+F14+G14</f>
        <v>0</v>
      </c>
      <c r="D14" s="990"/>
      <c r="E14" s="990"/>
      <c r="F14" s="990"/>
      <c r="G14" s="990"/>
      <c r="H14" s="990"/>
      <c r="I14" s="990"/>
      <c r="J14" s="1008"/>
      <c r="K14" s="1008"/>
      <c r="L14" s="1008"/>
    </row>
    <row r="15" spans="1:12" s="989" customFormat="1" ht="15" customHeight="1">
      <c r="A15" s="900">
        <v>2</v>
      </c>
      <c r="B15" s="913" t="s">
        <v>788</v>
      </c>
      <c r="C15" s="990">
        <f t="shared" si="2"/>
        <v>0</v>
      </c>
      <c r="D15" s="990"/>
      <c r="E15" s="990"/>
      <c r="F15" s="990"/>
      <c r="G15" s="990"/>
      <c r="H15" s="990"/>
      <c r="I15" s="990"/>
      <c r="J15" s="1008"/>
      <c r="K15" s="1008"/>
      <c r="L15" s="1008"/>
    </row>
    <row r="16" spans="1:12" s="989" customFormat="1" ht="15" customHeight="1">
      <c r="A16" s="900">
        <v>3</v>
      </c>
      <c r="B16" s="913" t="s">
        <v>789</v>
      </c>
      <c r="C16" s="990">
        <f t="shared" si="2"/>
        <v>0</v>
      </c>
      <c r="D16" s="990"/>
      <c r="E16" s="990"/>
      <c r="F16" s="990"/>
      <c r="G16" s="990"/>
      <c r="H16" s="990"/>
      <c r="I16" s="990"/>
      <c r="J16" s="1008"/>
      <c r="K16" s="1008"/>
      <c r="L16" s="1008"/>
    </row>
    <row r="17" spans="1:12" s="989" customFormat="1" ht="15" customHeight="1">
      <c r="A17" s="900">
        <v>4</v>
      </c>
      <c r="B17" s="913" t="s">
        <v>790</v>
      </c>
      <c r="C17" s="990">
        <f t="shared" si="2"/>
        <v>0</v>
      </c>
      <c r="D17" s="990"/>
      <c r="E17" s="990"/>
      <c r="F17" s="990"/>
      <c r="G17" s="990"/>
      <c r="H17" s="990"/>
      <c r="I17" s="990"/>
      <c r="J17" s="1008"/>
      <c r="K17" s="1008"/>
      <c r="L17" s="1008"/>
    </row>
    <row r="18" spans="1:12" s="989" customFormat="1" ht="15" customHeight="1">
      <c r="A18" s="900">
        <v>5</v>
      </c>
      <c r="B18" s="913" t="s">
        <v>791</v>
      </c>
      <c r="C18" s="990">
        <f t="shared" si="2"/>
        <v>0</v>
      </c>
      <c r="D18" s="990"/>
      <c r="E18" s="990"/>
      <c r="F18" s="990"/>
      <c r="G18" s="990"/>
      <c r="H18" s="990"/>
      <c r="I18" s="990"/>
      <c r="J18" s="1008"/>
      <c r="K18" s="1008"/>
      <c r="L18" s="1008"/>
    </row>
    <row r="19" spans="1:12" s="989" customFormat="1" ht="15" customHeight="1">
      <c r="A19" s="900">
        <v>6</v>
      </c>
      <c r="B19" s="913" t="s">
        <v>792</v>
      </c>
      <c r="C19" s="990">
        <f t="shared" si="2"/>
        <v>0</v>
      </c>
      <c r="D19" s="990"/>
      <c r="E19" s="990"/>
      <c r="F19" s="990"/>
      <c r="G19" s="990"/>
      <c r="H19" s="990"/>
      <c r="I19" s="990"/>
      <c r="J19" s="1008"/>
      <c r="K19" s="1008"/>
      <c r="L19" s="1008"/>
    </row>
    <row r="20" spans="1:12" s="989" customFormat="1" ht="15" customHeight="1">
      <c r="A20" s="900">
        <v>7</v>
      </c>
      <c r="B20" s="913" t="s">
        <v>793</v>
      </c>
      <c r="C20" s="990">
        <f t="shared" si="2"/>
        <v>0</v>
      </c>
      <c r="D20" s="990"/>
      <c r="E20" s="990"/>
      <c r="F20" s="990"/>
      <c r="G20" s="990"/>
      <c r="H20" s="990"/>
      <c r="I20" s="990"/>
      <c r="J20" s="1008"/>
      <c r="K20" s="1008"/>
      <c r="L20" s="1008"/>
    </row>
    <row r="21" spans="1:12" s="989" customFormat="1" ht="15" customHeight="1">
      <c r="A21" s="900">
        <v>8</v>
      </c>
      <c r="B21" s="913" t="s">
        <v>794</v>
      </c>
      <c r="C21" s="990">
        <f t="shared" si="2"/>
        <v>0</v>
      </c>
      <c r="D21" s="990"/>
      <c r="E21" s="990"/>
      <c r="F21" s="990"/>
      <c r="G21" s="990"/>
      <c r="H21" s="990"/>
      <c r="I21" s="990"/>
      <c r="J21" s="1008"/>
      <c r="K21" s="1008"/>
      <c r="L21" s="1008"/>
    </row>
    <row r="22" spans="1:12" s="989" customFormat="1" ht="15" customHeight="1">
      <c r="A22" s="900">
        <v>9</v>
      </c>
      <c r="B22" s="913" t="s">
        <v>795</v>
      </c>
      <c r="C22" s="990">
        <f t="shared" si="2"/>
        <v>0</v>
      </c>
      <c r="D22" s="990"/>
      <c r="E22" s="990"/>
      <c r="F22" s="990"/>
      <c r="G22" s="990"/>
      <c r="H22" s="990"/>
      <c r="I22" s="990"/>
      <c r="J22" s="1008"/>
      <c r="K22" s="1008"/>
      <c r="L22" s="1008"/>
    </row>
    <row r="23" spans="1:12" s="989" customFormat="1" ht="15" customHeight="1">
      <c r="A23" s="900">
        <v>10</v>
      </c>
      <c r="B23" s="913" t="s">
        <v>796</v>
      </c>
      <c r="C23" s="990">
        <f t="shared" si="2"/>
        <v>0</v>
      </c>
      <c r="D23" s="990"/>
      <c r="E23" s="990"/>
      <c r="F23" s="990"/>
      <c r="G23" s="990"/>
      <c r="H23" s="990"/>
      <c r="I23" s="990"/>
      <c r="J23" s="1008"/>
      <c r="K23" s="1008"/>
      <c r="L23" s="1008"/>
    </row>
    <row r="24" spans="1:12" s="989" customFormat="1" ht="15" customHeight="1">
      <c r="A24" s="900">
        <v>11</v>
      </c>
      <c r="B24" s="913" t="s">
        <v>797</v>
      </c>
      <c r="C24" s="990">
        <f t="shared" si="2"/>
        <v>1</v>
      </c>
      <c r="D24" s="990"/>
      <c r="E24" s="990">
        <v>1</v>
      </c>
      <c r="F24" s="990"/>
      <c r="G24" s="990"/>
      <c r="H24" s="990">
        <v>1</v>
      </c>
      <c r="I24" s="990"/>
      <c r="J24" s="1008">
        <v>1</v>
      </c>
      <c r="K24" s="1008"/>
      <c r="L24" s="1008"/>
    </row>
    <row r="25" spans="1:12" s="989" customFormat="1" ht="15" customHeight="1">
      <c r="A25" s="900">
        <v>12</v>
      </c>
      <c r="B25" s="913" t="s">
        <v>798</v>
      </c>
      <c r="C25" s="990">
        <f t="shared" si="2"/>
        <v>0</v>
      </c>
      <c r="D25" s="990"/>
      <c r="E25" s="990"/>
      <c r="F25" s="990"/>
      <c r="G25" s="990"/>
      <c r="H25" s="990"/>
      <c r="I25" s="990"/>
      <c r="J25" s="1008"/>
      <c r="K25" s="1008"/>
      <c r="L25" s="1008"/>
    </row>
    <row r="26" spans="1:12" s="989" customFormat="1" ht="15" customHeight="1">
      <c r="A26" s="900">
        <v>13</v>
      </c>
      <c r="B26" s="913" t="s">
        <v>799</v>
      </c>
      <c r="C26" s="990">
        <f t="shared" si="2"/>
        <v>0</v>
      </c>
      <c r="D26" s="990"/>
      <c r="E26" s="990"/>
      <c r="F26" s="990"/>
      <c r="G26" s="990"/>
      <c r="H26" s="990"/>
      <c r="I26" s="990"/>
      <c r="J26" s="1008"/>
      <c r="K26" s="1008"/>
      <c r="L26" s="1008"/>
    </row>
    <row r="27" spans="1:12" s="989" customFormat="1" ht="15" customHeight="1">
      <c r="A27" s="900">
        <v>14</v>
      </c>
      <c r="B27" s="913" t="s">
        <v>800</v>
      </c>
      <c r="C27" s="990">
        <f t="shared" si="2"/>
        <v>0</v>
      </c>
      <c r="D27" s="990"/>
      <c r="E27" s="990"/>
      <c r="F27" s="990"/>
      <c r="G27" s="990"/>
      <c r="H27" s="990"/>
      <c r="I27" s="990"/>
      <c r="J27" s="1008"/>
      <c r="K27" s="1008"/>
      <c r="L27" s="1008"/>
    </row>
    <row r="28" spans="1:12" s="989" customFormat="1" ht="15" customHeight="1">
      <c r="A28" s="900">
        <v>15</v>
      </c>
      <c r="B28" s="913" t="s">
        <v>801</v>
      </c>
      <c r="C28" s="990">
        <f t="shared" si="2"/>
        <v>0</v>
      </c>
      <c r="D28" s="990"/>
      <c r="E28" s="990"/>
      <c r="F28" s="990"/>
      <c r="G28" s="990"/>
      <c r="H28" s="990"/>
      <c r="I28" s="990"/>
      <c r="J28" s="1008"/>
      <c r="K28" s="1008"/>
      <c r="L28" s="1008"/>
    </row>
    <row r="29" spans="1:12" ht="18" customHeight="1">
      <c r="A29" s="1804"/>
      <c r="B29" s="1804"/>
      <c r="C29" s="1804"/>
      <c r="D29" s="1804"/>
      <c r="E29" s="991"/>
      <c r="F29" s="1805" t="str">
        <f>'Thong tin'!B8</f>
        <v>Hải Phòng, ngày 03 tháng 8 năm 2017</v>
      </c>
      <c r="G29" s="1805"/>
      <c r="H29" s="1805"/>
      <c r="I29" s="1805"/>
      <c r="J29" s="1805"/>
      <c r="K29" s="1805"/>
      <c r="L29" s="1805"/>
    </row>
    <row r="30" spans="1:16" ht="18" customHeight="1">
      <c r="A30" s="1701" t="s">
        <v>250</v>
      </c>
      <c r="B30" s="1701"/>
      <c r="C30" s="1701"/>
      <c r="D30" s="1701"/>
      <c r="E30" s="941"/>
      <c r="F30" s="1702" t="str">
        <f>'Thong tin'!B7</f>
        <v>
PHÓ CỤC TRƯỞNG</v>
      </c>
      <c r="G30" s="1702"/>
      <c r="H30" s="1702"/>
      <c r="I30" s="1702"/>
      <c r="J30" s="1702"/>
      <c r="K30" s="1702"/>
      <c r="L30" s="1702"/>
      <c r="P30" s="1009"/>
    </row>
    <row r="31" spans="1:12" ht="18" customHeight="1">
      <c r="A31" s="1707"/>
      <c r="B31" s="1707"/>
      <c r="C31" s="1707"/>
      <c r="D31" s="1707"/>
      <c r="E31" s="1010"/>
      <c r="F31" s="1702"/>
      <c r="G31" s="1702"/>
      <c r="H31" s="1702"/>
      <c r="I31" s="1702"/>
      <c r="J31" s="1702"/>
      <c r="K31" s="1702"/>
      <c r="L31" s="1702"/>
    </row>
    <row r="32" spans="1:12" ht="18" customHeight="1">
      <c r="A32" s="1011"/>
      <c r="B32" s="1011"/>
      <c r="C32" s="1010"/>
      <c r="D32" s="1010"/>
      <c r="E32" s="1010"/>
      <c r="F32" s="1010"/>
      <c r="G32" s="1010"/>
      <c r="H32" s="1010"/>
      <c r="I32" s="1010"/>
      <c r="J32" s="1010"/>
      <c r="K32" s="1010"/>
      <c r="L32" s="1010"/>
    </row>
    <row r="33" spans="1:12" ht="18">
      <c r="A33" s="1011"/>
      <c r="B33" s="1808"/>
      <c r="C33" s="1808"/>
      <c r="D33" s="1010"/>
      <c r="E33" s="1010"/>
      <c r="F33" s="1010"/>
      <c r="G33" s="1010"/>
      <c r="H33" s="1808"/>
      <c r="I33" s="1808"/>
      <c r="J33" s="1808"/>
      <c r="K33" s="1010"/>
      <c r="L33" s="1010"/>
    </row>
    <row r="34" spans="1:12" ht="13.5" customHeight="1">
      <c r="A34" s="1011"/>
      <c r="B34" s="1011"/>
      <c r="C34" s="1010"/>
      <c r="D34" s="1010"/>
      <c r="E34" s="1010"/>
      <c r="F34" s="1010"/>
      <c r="G34" s="1010"/>
      <c r="H34" s="1010"/>
      <c r="I34" s="1010"/>
      <c r="J34" s="1010"/>
      <c r="K34" s="1010"/>
      <c r="L34" s="1010"/>
    </row>
    <row r="35" spans="1:12" ht="13.5" customHeight="1" hidden="1">
      <c r="A35" s="1011"/>
      <c r="B35" s="1011"/>
      <c r="C35" s="1010"/>
      <c r="D35" s="1010"/>
      <c r="E35" s="1010"/>
      <c r="F35" s="1010"/>
      <c r="G35" s="1010"/>
      <c r="H35" s="1010"/>
      <c r="I35" s="1010"/>
      <c r="J35" s="1010"/>
      <c r="K35" s="1010"/>
      <c r="L35" s="1010"/>
    </row>
    <row r="36" spans="1:12" s="951" customFormat="1" ht="19.5" hidden="1">
      <c r="A36" s="1012" t="s">
        <v>294</v>
      </c>
      <c r="B36" s="979"/>
      <c r="C36" s="950"/>
      <c r="D36" s="950"/>
      <c r="E36" s="950"/>
      <c r="F36" s="950"/>
      <c r="G36" s="950"/>
      <c r="H36" s="950"/>
      <c r="I36" s="950"/>
      <c r="J36" s="950"/>
      <c r="K36" s="950"/>
      <c r="L36" s="950"/>
    </row>
    <row r="37" spans="1:12" s="1015" customFormat="1" ht="18.75" hidden="1">
      <c r="A37" s="1013"/>
      <c r="B37" s="1014" t="s">
        <v>295</v>
      </c>
      <c r="C37" s="1014"/>
      <c r="D37" s="1014"/>
      <c r="E37" s="955"/>
      <c r="F37" s="955"/>
      <c r="G37" s="955"/>
      <c r="H37" s="955"/>
      <c r="I37" s="955"/>
      <c r="J37" s="955"/>
      <c r="K37" s="955"/>
      <c r="L37" s="955"/>
    </row>
    <row r="38" spans="1:12" s="1015" customFormat="1" ht="18.75" hidden="1">
      <c r="A38" s="1013"/>
      <c r="B38" s="1014" t="s">
        <v>296</v>
      </c>
      <c r="C38" s="1014"/>
      <c r="D38" s="1014"/>
      <c r="E38" s="1014"/>
      <c r="F38" s="955"/>
      <c r="G38" s="955"/>
      <c r="H38" s="955"/>
      <c r="I38" s="955"/>
      <c r="J38" s="955"/>
      <c r="K38" s="955"/>
      <c r="L38" s="955"/>
    </row>
    <row r="39" spans="1:12" s="1015" customFormat="1" ht="18.75" hidden="1">
      <c r="A39" s="1013"/>
      <c r="B39" s="955" t="s">
        <v>297</v>
      </c>
      <c r="C39" s="955"/>
      <c r="D39" s="955"/>
      <c r="E39" s="955"/>
      <c r="F39" s="955"/>
      <c r="G39" s="955"/>
      <c r="H39" s="955"/>
      <c r="I39" s="955"/>
      <c r="J39" s="955"/>
      <c r="K39" s="955"/>
      <c r="L39" s="955"/>
    </row>
    <row r="40" spans="1:12" ht="18">
      <c r="A40" s="1011"/>
      <c r="B40" s="1011"/>
      <c r="C40" s="1010"/>
      <c r="D40" s="1010"/>
      <c r="E40" s="1010"/>
      <c r="F40" s="1010"/>
      <c r="G40" s="1010"/>
      <c r="H40" s="1010"/>
      <c r="I40" s="1010"/>
      <c r="J40" s="1010"/>
      <c r="K40" s="1010"/>
      <c r="L40" s="1010"/>
    </row>
    <row r="41" spans="1:12" ht="18.75">
      <c r="A41" s="1627" t="str">
        <f>'Thong tin'!B5</f>
        <v>Trần Thị Minh</v>
      </c>
      <c r="B41" s="1627"/>
      <c r="C41" s="1627"/>
      <c r="D41" s="1627"/>
      <c r="E41" s="947"/>
      <c r="F41" s="1627" t="str">
        <f>'Thong tin'!B6</f>
        <v>Nguyễn Thị Mai Hoa</v>
      </c>
      <c r="G41" s="1627"/>
      <c r="H41" s="1627"/>
      <c r="I41" s="1627"/>
      <c r="J41" s="1627"/>
      <c r="K41" s="1627"/>
      <c r="L41" s="1627"/>
    </row>
    <row r="42" spans="1:12" ht="18">
      <c r="A42" s="1016"/>
      <c r="B42" s="1016"/>
      <c r="C42" s="991"/>
      <c r="D42" s="991"/>
      <c r="E42" s="991"/>
      <c r="F42" s="991"/>
      <c r="G42" s="991"/>
      <c r="H42" s="991"/>
      <c r="I42" s="991"/>
      <c r="J42" s="991"/>
      <c r="K42" s="991"/>
      <c r="L42" s="991"/>
    </row>
  </sheetData>
  <sheetProtection/>
  <mergeCells count="27">
    <mergeCell ref="H33:J33"/>
    <mergeCell ref="J3:L3"/>
    <mergeCell ref="A1:B1"/>
    <mergeCell ref="A10:B10"/>
    <mergeCell ref="A41:D41"/>
    <mergeCell ref="F41:L41"/>
    <mergeCell ref="A30:D30"/>
    <mergeCell ref="F30:L30"/>
    <mergeCell ref="A31:D31"/>
    <mergeCell ref="F31:L31"/>
    <mergeCell ref="B33:C33"/>
    <mergeCell ref="J2:L2"/>
    <mergeCell ref="D3:I3"/>
    <mergeCell ref="J4:L4"/>
    <mergeCell ref="A11:B11"/>
    <mergeCell ref="D1:I2"/>
    <mergeCell ref="J1:L1"/>
    <mergeCell ref="A2:C2"/>
    <mergeCell ref="C8:C9"/>
    <mergeCell ref="D8:G8"/>
    <mergeCell ref="H8:I8"/>
    <mergeCell ref="A29:D29"/>
    <mergeCell ref="F29:L29"/>
    <mergeCell ref="A4:C4"/>
    <mergeCell ref="J8:L8"/>
    <mergeCell ref="J5:L5"/>
    <mergeCell ref="A8:B9"/>
  </mergeCells>
  <printOptions horizontalCentered="1"/>
  <pageMargins left="0.36" right="0.27" top="0.29" bottom="0.25" header="0.1" footer="0.29"/>
  <pageSetup horizontalDpi="600" verticalDpi="600" orientation="landscape" paperSize="9" scale="95" r:id="rId1"/>
  <ignoredErrors>
    <ignoredError sqref="C13" formula="1"/>
  </ignoredErrors>
</worksheet>
</file>

<file path=xl/worksheets/sheet32.xml><?xml version="1.0" encoding="utf-8"?>
<worksheet xmlns="http://schemas.openxmlformats.org/spreadsheetml/2006/main" xmlns:r="http://schemas.openxmlformats.org/officeDocument/2006/relationships">
  <sheetPr>
    <tabColor indexed="49"/>
  </sheetPr>
  <dimension ref="A1:M35"/>
  <sheetViews>
    <sheetView view="pageBreakPreview" zoomScaleSheetLayoutView="100" zoomScalePageLayoutView="0" workbookViewId="0" topLeftCell="A16">
      <selection activeCell="M27" sqref="M27"/>
    </sheetView>
  </sheetViews>
  <sheetFormatPr defaultColWidth="9.00390625" defaultRowHeight="15.75"/>
  <cols>
    <col min="1" max="1" width="2.50390625" style="982" customWidth="1"/>
    <col min="2" max="2" width="22.75390625" style="982" customWidth="1"/>
    <col min="3" max="3" width="11.875" style="982" customWidth="1"/>
    <col min="4" max="7" width="8.875" style="982" customWidth="1"/>
    <col min="8" max="8" width="10.125" style="982" customWidth="1"/>
    <col min="9" max="10" width="10.625" style="982" customWidth="1"/>
    <col min="11" max="11" width="12.50390625" style="982" customWidth="1"/>
    <col min="12" max="12" width="8.875" style="982" customWidth="1"/>
    <col min="13" max="13" width="10.625" style="982" customWidth="1"/>
    <col min="14" max="16384" width="9.00390625" style="982" customWidth="1"/>
  </cols>
  <sheetData>
    <row r="1" spans="1:13" ht="24" customHeight="1">
      <c r="A1" s="1818" t="s">
        <v>298</v>
      </c>
      <c r="B1" s="1818"/>
      <c r="C1" s="1818"/>
      <c r="D1" s="1696" t="s">
        <v>669</v>
      </c>
      <c r="E1" s="1696"/>
      <c r="F1" s="1696"/>
      <c r="G1" s="1696"/>
      <c r="H1" s="1696"/>
      <c r="I1" s="1696"/>
      <c r="K1" s="983" t="s">
        <v>667</v>
      </c>
      <c r="L1" s="958"/>
      <c r="M1" s="958"/>
    </row>
    <row r="2" spans="1:13" ht="15.75" customHeight="1">
      <c r="A2" s="919" t="s">
        <v>344</v>
      </c>
      <c r="B2" s="984"/>
      <c r="C2" s="984"/>
      <c r="D2" s="1724" t="str">
        <f>'Thong tin'!B3</f>
        <v>10 tháng / năm 2017</v>
      </c>
      <c r="E2" s="1724"/>
      <c r="F2" s="1724"/>
      <c r="G2" s="1724"/>
      <c r="H2" s="1724"/>
      <c r="I2" s="1724"/>
      <c r="K2" s="1811" t="str">
        <f>'Thong tin'!B4</f>
        <v>CTHADS Hải Phòng</v>
      </c>
      <c r="L2" s="1811"/>
      <c r="M2" s="1811"/>
    </row>
    <row r="3" spans="1:13" ht="18.75" customHeight="1">
      <c r="A3" s="985" t="s">
        <v>345</v>
      </c>
      <c r="B3" s="919"/>
      <c r="C3" s="919"/>
      <c r="D3" s="986"/>
      <c r="E3" s="986"/>
      <c r="F3" s="986"/>
      <c r="G3" s="986"/>
      <c r="H3" s="986"/>
      <c r="I3" s="986"/>
      <c r="K3" s="957" t="s">
        <v>468</v>
      </c>
      <c r="L3" s="957"/>
      <c r="M3" s="957"/>
    </row>
    <row r="4" spans="1:13" ht="15.75" customHeight="1">
      <c r="A4" s="1819" t="s">
        <v>677</v>
      </c>
      <c r="B4" s="1819"/>
      <c r="C4" s="1819"/>
      <c r="D4" s="1820"/>
      <c r="E4" s="1820"/>
      <c r="F4" s="1820"/>
      <c r="G4" s="1820"/>
      <c r="H4" s="1820"/>
      <c r="I4" s="1820"/>
      <c r="K4" s="958" t="s">
        <v>403</v>
      </c>
      <c r="L4" s="958"/>
      <c r="M4" s="958"/>
    </row>
    <row r="5" spans="1:13" ht="15.75">
      <c r="A5" s="1824"/>
      <c r="B5" s="1824"/>
      <c r="C5" s="987"/>
      <c r="I5" s="988"/>
      <c r="J5" s="1817" t="s">
        <v>439</v>
      </c>
      <c r="K5" s="1817"/>
      <c r="L5" s="1817"/>
      <c r="M5" s="1817"/>
    </row>
    <row r="6" spans="1:13" ht="15.75" customHeight="1">
      <c r="A6" s="1716" t="s">
        <v>72</v>
      </c>
      <c r="B6" s="1717"/>
      <c r="C6" s="1812" t="s">
        <v>299</v>
      </c>
      <c r="D6" s="1814" t="s">
        <v>300</v>
      </c>
      <c r="E6" s="1815"/>
      <c r="F6" s="1815"/>
      <c r="G6" s="1747"/>
      <c r="H6" s="1814" t="s">
        <v>301</v>
      </c>
      <c r="I6" s="1815"/>
      <c r="J6" s="1815"/>
      <c r="K6" s="1815"/>
      <c r="L6" s="1815"/>
      <c r="M6" s="1747"/>
    </row>
    <row r="7" spans="1:13" ht="15.75" customHeight="1">
      <c r="A7" s="1718"/>
      <c r="B7" s="1719"/>
      <c r="C7" s="1816"/>
      <c r="D7" s="1821" t="s">
        <v>7</v>
      </c>
      <c r="E7" s="1822"/>
      <c r="F7" s="1822"/>
      <c r="G7" s="1823"/>
      <c r="H7" s="1812" t="s">
        <v>37</v>
      </c>
      <c r="I7" s="1814" t="s">
        <v>7</v>
      </c>
      <c r="J7" s="1815"/>
      <c r="K7" s="1815"/>
      <c r="L7" s="1815"/>
      <c r="M7" s="1747"/>
    </row>
    <row r="8" spans="1:13" ht="14.25" customHeight="1">
      <c r="A8" s="1718"/>
      <c r="B8" s="1719"/>
      <c r="C8" s="1816"/>
      <c r="D8" s="1812" t="s">
        <v>302</v>
      </c>
      <c r="E8" s="1812" t="s">
        <v>676</v>
      </c>
      <c r="F8" s="1812" t="s">
        <v>304</v>
      </c>
      <c r="G8" s="1812" t="s">
        <v>303</v>
      </c>
      <c r="H8" s="1816"/>
      <c r="I8" s="1812" t="s">
        <v>305</v>
      </c>
      <c r="J8" s="1812" t="s">
        <v>306</v>
      </c>
      <c r="K8" s="1812" t="s">
        <v>307</v>
      </c>
      <c r="L8" s="1812" t="s">
        <v>308</v>
      </c>
      <c r="M8" s="1812" t="s">
        <v>309</v>
      </c>
    </row>
    <row r="9" spans="1:13" ht="72" customHeight="1">
      <c r="A9" s="1825"/>
      <c r="B9" s="1826"/>
      <c r="C9" s="1813"/>
      <c r="D9" s="1813"/>
      <c r="E9" s="1813"/>
      <c r="F9" s="1813"/>
      <c r="G9" s="1813"/>
      <c r="H9" s="1813"/>
      <c r="I9" s="1813"/>
      <c r="J9" s="1813"/>
      <c r="K9" s="1813"/>
      <c r="L9" s="1813"/>
      <c r="M9" s="1813"/>
    </row>
    <row r="10" spans="1:13" s="989" customFormat="1" ht="15" customHeight="1">
      <c r="A10" s="1830" t="s">
        <v>6</v>
      </c>
      <c r="B10" s="1831"/>
      <c r="C10" s="970">
        <v>1</v>
      </c>
      <c r="D10" s="970">
        <v>2</v>
      </c>
      <c r="E10" s="970">
        <v>3</v>
      </c>
      <c r="F10" s="970">
        <v>4</v>
      </c>
      <c r="G10" s="970"/>
      <c r="H10" s="970">
        <v>5</v>
      </c>
      <c r="I10" s="970">
        <v>6</v>
      </c>
      <c r="J10" s="970">
        <v>7</v>
      </c>
      <c r="K10" s="970">
        <v>8</v>
      </c>
      <c r="L10" s="970" t="s">
        <v>78</v>
      </c>
      <c r="M10" s="970" t="s">
        <v>101</v>
      </c>
    </row>
    <row r="11" spans="1:13" s="989" customFormat="1" ht="15" customHeight="1">
      <c r="A11" s="1827" t="s">
        <v>37</v>
      </c>
      <c r="B11" s="1828"/>
      <c r="C11" s="990">
        <f>C12+C13</f>
        <v>7</v>
      </c>
      <c r="D11" s="990">
        <f aca="true" t="shared" si="0" ref="D11:M11">D12+D13</f>
        <v>0</v>
      </c>
      <c r="E11" s="990">
        <f t="shared" si="0"/>
        <v>0</v>
      </c>
      <c r="F11" s="990">
        <f t="shared" si="0"/>
        <v>6</v>
      </c>
      <c r="G11" s="990">
        <f t="shared" si="0"/>
        <v>1</v>
      </c>
      <c r="H11" s="990">
        <f t="shared" si="0"/>
        <v>7</v>
      </c>
      <c r="I11" s="990">
        <f t="shared" si="0"/>
        <v>0</v>
      </c>
      <c r="J11" s="990">
        <f t="shared" si="0"/>
        <v>0</v>
      </c>
      <c r="K11" s="990">
        <f t="shared" si="0"/>
        <v>0</v>
      </c>
      <c r="L11" s="990">
        <f t="shared" si="0"/>
        <v>0</v>
      </c>
      <c r="M11" s="990">
        <f t="shared" si="0"/>
        <v>7</v>
      </c>
    </row>
    <row r="12" spans="1:13" s="989" customFormat="1" ht="15" customHeight="1">
      <c r="A12" s="933" t="s">
        <v>0</v>
      </c>
      <c r="B12" s="934" t="s">
        <v>786</v>
      </c>
      <c r="C12" s="990">
        <f>D12+E12+F12+G12</f>
        <v>1</v>
      </c>
      <c r="D12" s="990"/>
      <c r="E12" s="990"/>
      <c r="F12" s="990"/>
      <c r="G12" s="990">
        <v>1</v>
      </c>
      <c r="H12" s="990">
        <f>I12+J12+K12+L12+M12</f>
        <v>1</v>
      </c>
      <c r="I12" s="990">
        <v>0</v>
      </c>
      <c r="J12" s="990"/>
      <c r="K12" s="990"/>
      <c r="L12" s="990"/>
      <c r="M12" s="990">
        <v>1</v>
      </c>
    </row>
    <row r="13" spans="1:13" s="989" customFormat="1" ht="15" customHeight="1">
      <c r="A13" s="935" t="s">
        <v>1</v>
      </c>
      <c r="B13" s="934" t="s">
        <v>19</v>
      </c>
      <c r="C13" s="990">
        <f>SUM(C14:C28)</f>
        <v>6</v>
      </c>
      <c r="D13" s="990">
        <f aca="true" t="shared" si="1" ref="D13:M13">SUM(D14:D28)</f>
        <v>0</v>
      </c>
      <c r="E13" s="990">
        <f t="shared" si="1"/>
        <v>0</v>
      </c>
      <c r="F13" s="990">
        <f t="shared" si="1"/>
        <v>6</v>
      </c>
      <c r="G13" s="990">
        <f t="shared" si="1"/>
        <v>0</v>
      </c>
      <c r="H13" s="990">
        <f t="shared" si="1"/>
        <v>6</v>
      </c>
      <c r="I13" s="990">
        <f t="shared" si="1"/>
        <v>0</v>
      </c>
      <c r="J13" s="990">
        <f t="shared" si="1"/>
        <v>0</v>
      </c>
      <c r="K13" s="990">
        <f t="shared" si="1"/>
        <v>0</v>
      </c>
      <c r="L13" s="990">
        <f t="shared" si="1"/>
        <v>0</v>
      </c>
      <c r="M13" s="990">
        <f t="shared" si="1"/>
        <v>6</v>
      </c>
    </row>
    <row r="14" spans="1:13" s="989" customFormat="1" ht="15" customHeight="1">
      <c r="A14" s="900">
        <v>1</v>
      </c>
      <c r="B14" s="913" t="s">
        <v>787</v>
      </c>
      <c r="C14" s="990">
        <f aca="true" t="shared" si="2" ref="C14:C28">D14+E14+F14+G14</f>
        <v>0</v>
      </c>
      <c r="D14" s="990"/>
      <c r="E14" s="990"/>
      <c r="F14" s="990"/>
      <c r="G14" s="990"/>
      <c r="H14" s="990">
        <f aca="true" t="shared" si="3" ref="H14:H28">I14+J14+K14+L14+M14</f>
        <v>0</v>
      </c>
      <c r="I14" s="990"/>
      <c r="J14" s="990"/>
      <c r="K14" s="990"/>
      <c r="L14" s="990"/>
      <c r="M14" s="990"/>
    </row>
    <row r="15" spans="1:13" s="989" customFormat="1" ht="15" customHeight="1">
      <c r="A15" s="900">
        <v>2</v>
      </c>
      <c r="B15" s="913" t="s">
        <v>788</v>
      </c>
      <c r="C15" s="990">
        <f t="shared" si="2"/>
        <v>0</v>
      </c>
      <c r="D15" s="990"/>
      <c r="E15" s="990"/>
      <c r="F15" s="990"/>
      <c r="G15" s="990"/>
      <c r="H15" s="990">
        <f t="shared" si="3"/>
        <v>0</v>
      </c>
      <c r="I15" s="990"/>
      <c r="J15" s="990"/>
      <c r="K15" s="990"/>
      <c r="L15" s="990"/>
      <c r="M15" s="990"/>
    </row>
    <row r="16" spans="1:13" s="989" customFormat="1" ht="15" customHeight="1">
      <c r="A16" s="900">
        <v>3</v>
      </c>
      <c r="B16" s="913" t="s">
        <v>789</v>
      </c>
      <c r="C16" s="990">
        <f t="shared" si="2"/>
        <v>0</v>
      </c>
      <c r="D16" s="990"/>
      <c r="E16" s="990"/>
      <c r="F16" s="990"/>
      <c r="G16" s="990"/>
      <c r="H16" s="990">
        <f t="shared" si="3"/>
        <v>0</v>
      </c>
      <c r="I16" s="990"/>
      <c r="J16" s="990"/>
      <c r="K16" s="990"/>
      <c r="L16" s="990"/>
      <c r="M16" s="990"/>
    </row>
    <row r="17" spans="1:13" s="989" customFormat="1" ht="15" customHeight="1">
      <c r="A17" s="900">
        <v>4</v>
      </c>
      <c r="B17" s="913" t="s">
        <v>790</v>
      </c>
      <c r="C17" s="990">
        <f t="shared" si="2"/>
        <v>0</v>
      </c>
      <c r="D17" s="990"/>
      <c r="E17" s="990"/>
      <c r="F17" s="990"/>
      <c r="G17" s="990"/>
      <c r="H17" s="990">
        <f t="shared" si="3"/>
        <v>0</v>
      </c>
      <c r="I17" s="990"/>
      <c r="J17" s="990"/>
      <c r="K17" s="990"/>
      <c r="L17" s="990"/>
      <c r="M17" s="990"/>
    </row>
    <row r="18" spans="1:13" s="989" customFormat="1" ht="15" customHeight="1">
      <c r="A18" s="900">
        <v>5</v>
      </c>
      <c r="B18" s="913" t="s">
        <v>791</v>
      </c>
      <c r="C18" s="990">
        <f t="shared" si="2"/>
        <v>1</v>
      </c>
      <c r="D18" s="990"/>
      <c r="E18" s="990"/>
      <c r="F18" s="990">
        <v>1</v>
      </c>
      <c r="G18" s="990"/>
      <c r="H18" s="990">
        <f t="shared" si="3"/>
        <v>1</v>
      </c>
      <c r="I18" s="990"/>
      <c r="J18" s="990"/>
      <c r="K18" s="990"/>
      <c r="L18" s="990"/>
      <c r="M18" s="990">
        <v>1</v>
      </c>
    </row>
    <row r="19" spans="1:13" s="989" customFormat="1" ht="15" customHeight="1">
      <c r="A19" s="900">
        <v>6</v>
      </c>
      <c r="B19" s="913" t="s">
        <v>792</v>
      </c>
      <c r="C19" s="990">
        <f t="shared" si="2"/>
        <v>0</v>
      </c>
      <c r="D19" s="990"/>
      <c r="E19" s="990"/>
      <c r="F19" s="990"/>
      <c r="G19" s="990"/>
      <c r="H19" s="990">
        <f t="shared" si="3"/>
        <v>0</v>
      </c>
      <c r="I19" s="990"/>
      <c r="J19" s="990"/>
      <c r="K19" s="990"/>
      <c r="L19" s="990"/>
      <c r="M19" s="990"/>
    </row>
    <row r="20" spans="1:13" s="989" customFormat="1" ht="15" customHeight="1">
      <c r="A20" s="900">
        <v>7</v>
      </c>
      <c r="B20" s="913" t="s">
        <v>793</v>
      </c>
      <c r="C20" s="990">
        <f t="shared" si="2"/>
        <v>1</v>
      </c>
      <c r="D20" s="990"/>
      <c r="E20" s="990"/>
      <c r="F20" s="990">
        <v>1</v>
      </c>
      <c r="G20" s="990"/>
      <c r="H20" s="990">
        <f t="shared" si="3"/>
        <v>1</v>
      </c>
      <c r="I20" s="990"/>
      <c r="J20" s="990"/>
      <c r="K20" s="990"/>
      <c r="L20" s="990"/>
      <c r="M20" s="990">
        <v>1</v>
      </c>
    </row>
    <row r="21" spans="1:13" s="989" customFormat="1" ht="15" customHeight="1">
      <c r="A21" s="900">
        <v>8</v>
      </c>
      <c r="B21" s="913" t="s">
        <v>794</v>
      </c>
      <c r="C21" s="990">
        <f t="shared" si="2"/>
        <v>0</v>
      </c>
      <c r="D21" s="990"/>
      <c r="E21" s="990"/>
      <c r="F21" s="990"/>
      <c r="G21" s="990"/>
      <c r="H21" s="990">
        <f t="shared" si="3"/>
        <v>0</v>
      </c>
      <c r="I21" s="990"/>
      <c r="J21" s="990"/>
      <c r="K21" s="990"/>
      <c r="L21" s="990"/>
      <c r="M21" s="990"/>
    </row>
    <row r="22" spans="1:13" s="989" customFormat="1" ht="15" customHeight="1">
      <c r="A22" s="900">
        <v>9</v>
      </c>
      <c r="B22" s="913" t="s">
        <v>795</v>
      </c>
      <c r="C22" s="990">
        <f t="shared" si="2"/>
        <v>1</v>
      </c>
      <c r="D22" s="990"/>
      <c r="E22" s="990"/>
      <c r="F22" s="990">
        <v>1</v>
      </c>
      <c r="G22" s="990"/>
      <c r="H22" s="990">
        <f t="shared" si="3"/>
        <v>1</v>
      </c>
      <c r="I22" s="990"/>
      <c r="J22" s="990"/>
      <c r="K22" s="990"/>
      <c r="L22" s="990"/>
      <c r="M22" s="990">
        <v>1</v>
      </c>
    </row>
    <row r="23" spans="1:13" s="989" customFormat="1" ht="15" customHeight="1">
      <c r="A23" s="900">
        <v>10</v>
      </c>
      <c r="B23" s="913" t="s">
        <v>796</v>
      </c>
      <c r="C23" s="990">
        <f t="shared" si="2"/>
        <v>1</v>
      </c>
      <c r="D23" s="990"/>
      <c r="E23" s="990"/>
      <c r="F23" s="990">
        <v>1</v>
      </c>
      <c r="G23" s="990"/>
      <c r="H23" s="990">
        <f t="shared" si="3"/>
        <v>1</v>
      </c>
      <c r="I23" s="990"/>
      <c r="J23" s="990"/>
      <c r="K23" s="990"/>
      <c r="L23" s="990"/>
      <c r="M23" s="990">
        <v>1</v>
      </c>
    </row>
    <row r="24" spans="1:13" s="989" customFormat="1" ht="15" customHeight="1">
      <c r="A24" s="900">
        <v>11</v>
      </c>
      <c r="B24" s="913" t="s">
        <v>797</v>
      </c>
      <c r="C24" s="990">
        <f t="shared" si="2"/>
        <v>1</v>
      </c>
      <c r="D24" s="990"/>
      <c r="E24" s="990"/>
      <c r="F24" s="990">
        <v>1</v>
      </c>
      <c r="G24" s="990"/>
      <c r="H24" s="990">
        <f t="shared" si="3"/>
        <v>1</v>
      </c>
      <c r="I24" s="990"/>
      <c r="J24" s="990"/>
      <c r="K24" s="990"/>
      <c r="L24" s="990"/>
      <c r="M24" s="990">
        <v>1</v>
      </c>
    </row>
    <row r="25" spans="1:13" s="989" customFormat="1" ht="15" customHeight="1">
      <c r="A25" s="900">
        <v>12</v>
      </c>
      <c r="B25" s="913" t="s">
        <v>798</v>
      </c>
      <c r="C25" s="990">
        <f t="shared" si="2"/>
        <v>0</v>
      </c>
      <c r="D25" s="990"/>
      <c r="E25" s="990"/>
      <c r="F25" s="990"/>
      <c r="G25" s="990"/>
      <c r="H25" s="990">
        <f t="shared" si="3"/>
        <v>0</v>
      </c>
      <c r="I25" s="990"/>
      <c r="J25" s="990"/>
      <c r="K25" s="990"/>
      <c r="L25" s="990"/>
      <c r="M25" s="990"/>
    </row>
    <row r="26" spans="1:13" s="989" customFormat="1" ht="15" customHeight="1">
      <c r="A26" s="900">
        <v>13</v>
      </c>
      <c r="B26" s="913" t="s">
        <v>799</v>
      </c>
      <c r="C26" s="990">
        <f t="shared" si="2"/>
        <v>1</v>
      </c>
      <c r="D26" s="990"/>
      <c r="E26" s="990"/>
      <c r="F26" s="990">
        <v>1</v>
      </c>
      <c r="G26" s="990"/>
      <c r="H26" s="990">
        <f t="shared" si="3"/>
        <v>1</v>
      </c>
      <c r="I26" s="990"/>
      <c r="J26" s="990"/>
      <c r="K26" s="990"/>
      <c r="L26" s="990"/>
      <c r="M26" s="990">
        <v>1</v>
      </c>
    </row>
    <row r="27" spans="1:13" s="989" customFormat="1" ht="15" customHeight="1">
      <c r="A27" s="900">
        <v>14</v>
      </c>
      <c r="B27" s="913" t="s">
        <v>800</v>
      </c>
      <c r="C27" s="990">
        <f t="shared" si="2"/>
        <v>0</v>
      </c>
      <c r="D27" s="990"/>
      <c r="E27" s="990"/>
      <c r="F27" s="990"/>
      <c r="G27" s="990"/>
      <c r="H27" s="990">
        <f t="shared" si="3"/>
        <v>0</v>
      </c>
      <c r="I27" s="990"/>
      <c r="J27" s="990"/>
      <c r="K27" s="990"/>
      <c r="L27" s="990"/>
      <c r="M27" s="990"/>
    </row>
    <row r="28" spans="1:13" ht="15" customHeight="1">
      <c r="A28" s="900">
        <v>15</v>
      </c>
      <c r="B28" s="913" t="s">
        <v>801</v>
      </c>
      <c r="C28" s="990">
        <f t="shared" si="2"/>
        <v>0</v>
      </c>
      <c r="D28" s="990"/>
      <c r="E28" s="990"/>
      <c r="F28" s="990"/>
      <c r="G28" s="990"/>
      <c r="H28" s="990">
        <f t="shared" si="3"/>
        <v>0</v>
      </c>
      <c r="I28" s="990"/>
      <c r="J28" s="990"/>
      <c r="K28" s="990"/>
      <c r="L28" s="990"/>
      <c r="M28" s="990"/>
    </row>
    <row r="29" spans="1:13" ht="18.75" customHeight="1">
      <c r="A29" s="1829" t="s">
        <v>4</v>
      </c>
      <c r="B29" s="1829"/>
      <c r="C29" s="1829"/>
      <c r="D29" s="1829"/>
      <c r="E29" s="1829"/>
      <c r="F29" s="991"/>
      <c r="G29" s="991"/>
      <c r="H29" s="992"/>
      <c r="I29" s="1702" t="str">
        <f>'Thong tin'!B7</f>
        <v>
PHÓ CỤC TRƯỞNG</v>
      </c>
      <c r="J29" s="1702"/>
      <c r="K29" s="1702"/>
      <c r="L29" s="1702"/>
      <c r="M29" s="1702"/>
    </row>
    <row r="30" spans="1:13" ht="18.75">
      <c r="A30" s="1727"/>
      <c r="B30" s="1727"/>
      <c r="C30" s="1727"/>
      <c r="D30" s="1727"/>
      <c r="E30" s="1727"/>
      <c r="F30" s="993"/>
      <c r="G30" s="993"/>
      <c r="H30" s="991"/>
      <c r="I30" s="1728"/>
      <c r="J30" s="1728"/>
      <c r="K30" s="1728"/>
      <c r="L30" s="1728"/>
      <c r="M30" s="1728"/>
    </row>
    <row r="31" spans="1:13" ht="31.5" customHeight="1">
      <c r="A31" s="994"/>
      <c r="B31" s="994"/>
      <c r="C31" s="994"/>
      <c r="D31" s="994"/>
      <c r="E31" s="994"/>
      <c r="F31" s="993"/>
      <c r="G31" s="993"/>
      <c r="H31" s="991"/>
      <c r="I31" s="995"/>
      <c r="J31" s="995"/>
      <c r="K31" s="995"/>
      <c r="L31" s="995"/>
      <c r="M31" s="995"/>
    </row>
    <row r="32" spans="1:13" ht="18.75">
      <c r="A32" s="994"/>
      <c r="B32" s="994"/>
      <c r="C32" s="994"/>
      <c r="D32" s="994"/>
      <c r="E32" s="994"/>
      <c r="F32" s="993"/>
      <c r="G32" s="993"/>
      <c r="H32" s="991"/>
      <c r="I32" s="995"/>
      <c r="J32" s="995"/>
      <c r="K32" s="995"/>
      <c r="L32" s="995"/>
      <c r="M32" s="995"/>
    </row>
    <row r="33" spans="1:13" ht="18">
      <c r="A33" s="991"/>
      <c r="B33" s="991"/>
      <c r="C33" s="991"/>
      <c r="D33" s="991"/>
      <c r="E33" s="991"/>
      <c r="F33" s="991"/>
      <c r="G33" s="991"/>
      <c r="H33" s="991"/>
      <c r="I33" s="991"/>
      <c r="J33" s="991"/>
      <c r="K33" s="991"/>
      <c r="L33" s="991"/>
      <c r="M33" s="991"/>
    </row>
    <row r="34" spans="1:13" ht="18.75">
      <c r="A34" s="1734" t="str">
        <f>'Thong tin'!B5</f>
        <v>Trần Thị Minh</v>
      </c>
      <c r="B34" s="1734"/>
      <c r="C34" s="1734"/>
      <c r="D34" s="1734"/>
      <c r="E34" s="1734"/>
      <c r="F34" s="991"/>
      <c r="G34" s="991"/>
      <c r="H34" s="981"/>
      <c r="I34" s="1627" t="str">
        <f>'Thong tin'!B6</f>
        <v>Nguyễn Thị Mai Hoa</v>
      </c>
      <c r="J34" s="1627"/>
      <c r="K34" s="1627"/>
      <c r="L34" s="1627"/>
      <c r="M34" s="1627"/>
    </row>
    <row r="35" spans="1:13" ht="12.75" customHeight="1">
      <c r="A35" s="991"/>
      <c r="B35" s="991"/>
      <c r="C35" s="991"/>
      <c r="D35" s="991"/>
      <c r="E35" s="991"/>
      <c r="F35" s="991"/>
      <c r="G35" s="991"/>
      <c r="H35" s="991"/>
      <c r="I35" s="981"/>
      <c r="J35" s="981"/>
      <c r="K35" s="981"/>
      <c r="L35" s="981"/>
      <c r="M35" s="981"/>
    </row>
  </sheetData>
  <sheetProtection/>
  <mergeCells count="32">
    <mergeCell ref="A34:E34"/>
    <mergeCell ref="I34:M34"/>
    <mergeCell ref="A29:E29"/>
    <mergeCell ref="I29:M29"/>
    <mergeCell ref="A30:E30"/>
    <mergeCell ref="A10:B10"/>
    <mergeCell ref="A5:B5"/>
    <mergeCell ref="A6:B9"/>
    <mergeCell ref="I30:M30"/>
    <mergeCell ref="A11:B11"/>
    <mergeCell ref="M8:M9"/>
    <mergeCell ref="I8:I9"/>
    <mergeCell ref="G8:G9"/>
    <mergeCell ref="K8:K9"/>
    <mergeCell ref="I7:M7"/>
    <mergeCell ref="A1:C1"/>
    <mergeCell ref="A4:C4"/>
    <mergeCell ref="D4:I4"/>
    <mergeCell ref="D1:I1"/>
    <mergeCell ref="D2:I2"/>
    <mergeCell ref="D7:G7"/>
    <mergeCell ref="C6:C9"/>
    <mergeCell ref="D8:D9"/>
    <mergeCell ref="F8:F9"/>
    <mergeCell ref="D6:G6"/>
    <mergeCell ref="K2:M2"/>
    <mergeCell ref="J8:J9"/>
    <mergeCell ref="E8:E9"/>
    <mergeCell ref="H6:M6"/>
    <mergeCell ref="H7:H9"/>
    <mergeCell ref="L8:L9"/>
    <mergeCell ref="J5:M5"/>
  </mergeCells>
  <printOptions horizontalCentered="1"/>
  <pageMargins left="0.47" right="0.37" top="0.19" bottom="0.14" header="0.12" footer="0.25"/>
  <pageSetup horizontalDpi="600" verticalDpi="600" orientation="landscape" paperSize="9" scale="95" r:id="rId1"/>
  <ignoredErrors>
    <ignoredError sqref="C12:M13" formula="1"/>
  </ignoredErrors>
</worksheet>
</file>

<file path=xl/worksheets/sheet33.xml><?xml version="1.0" encoding="utf-8"?>
<worksheet xmlns="http://schemas.openxmlformats.org/spreadsheetml/2006/main" xmlns:r="http://schemas.openxmlformats.org/officeDocument/2006/relationships">
  <sheetPr>
    <tabColor indexed="18"/>
  </sheetPr>
  <dimension ref="A1:T39"/>
  <sheetViews>
    <sheetView view="pageBreakPreview" zoomScaleSheetLayoutView="100" zoomScalePageLayoutView="0" workbookViewId="0" topLeftCell="A16">
      <selection activeCell="A22" sqref="A1:IV16384"/>
    </sheetView>
  </sheetViews>
  <sheetFormatPr defaultColWidth="9.00390625" defaultRowHeight="15.75"/>
  <cols>
    <col min="1" max="1" width="2.50390625" style="959" customWidth="1"/>
    <col min="2" max="2" width="23.00390625" style="959" customWidth="1"/>
    <col min="3" max="3" width="6.125" style="959" customWidth="1"/>
    <col min="4" max="4" width="7.50390625" style="959" customWidth="1"/>
    <col min="5" max="5" width="4.75390625" style="959" customWidth="1"/>
    <col min="6" max="6" width="6.375" style="959" customWidth="1"/>
    <col min="7" max="7" width="4.50390625" style="959" customWidth="1"/>
    <col min="8" max="8" width="7.25390625" style="959" customWidth="1"/>
    <col min="9" max="9" width="4.375" style="959" customWidth="1"/>
    <col min="10" max="10" width="7.50390625" style="959" customWidth="1"/>
    <col min="11" max="11" width="4.25390625" style="959" customWidth="1"/>
    <col min="12" max="12" width="6.50390625" style="959" customWidth="1"/>
    <col min="13" max="13" width="5.375" style="959" customWidth="1"/>
    <col min="14" max="14" width="7.50390625" style="959" customWidth="1"/>
    <col min="15" max="15" width="4.375" style="959" customWidth="1"/>
    <col min="16" max="16" width="7.00390625" style="959" customWidth="1"/>
    <col min="17" max="17" width="5.75390625" style="959" customWidth="1"/>
    <col min="18" max="18" width="6.75390625" style="959" customWidth="1"/>
    <col min="19" max="19" width="4.00390625" style="959" customWidth="1"/>
    <col min="20" max="20" width="6.125" style="959" customWidth="1"/>
    <col min="21" max="16384" width="9.00390625" style="959" customWidth="1"/>
  </cols>
  <sheetData>
    <row r="1" spans="1:20" ht="18" customHeight="1">
      <c r="A1" s="1832" t="s">
        <v>313</v>
      </c>
      <c r="B1" s="1832"/>
      <c r="C1" s="1832"/>
      <c r="D1" s="1832"/>
      <c r="E1" s="1696" t="s">
        <v>670</v>
      </c>
      <c r="F1" s="1696"/>
      <c r="G1" s="1696"/>
      <c r="H1" s="1696"/>
      <c r="I1" s="1696"/>
      <c r="J1" s="1696"/>
      <c r="K1" s="1696"/>
      <c r="L1" s="1696"/>
      <c r="M1" s="1696"/>
      <c r="N1" s="1696"/>
      <c r="O1" s="1696"/>
      <c r="P1" s="957" t="s">
        <v>400</v>
      </c>
      <c r="Q1" s="958"/>
      <c r="R1" s="958"/>
      <c r="S1" s="958"/>
      <c r="T1" s="958"/>
    </row>
    <row r="2" spans="1:20" ht="20.25" customHeight="1">
      <c r="A2" s="919" t="s">
        <v>344</v>
      </c>
      <c r="B2" s="919" t="s">
        <v>344</v>
      </c>
      <c r="C2" s="919"/>
      <c r="D2" s="919"/>
      <c r="E2" s="1696"/>
      <c r="F2" s="1696"/>
      <c r="G2" s="1696"/>
      <c r="H2" s="1696"/>
      <c r="I2" s="1696"/>
      <c r="J2" s="1696"/>
      <c r="K2" s="1696"/>
      <c r="L2" s="1696"/>
      <c r="M2" s="1696"/>
      <c r="N2" s="1696"/>
      <c r="O2" s="1696"/>
      <c r="P2" s="960" t="str">
        <f>'Thong tin'!B4</f>
        <v>CTHADS Hải Phòng</v>
      </c>
      <c r="Q2" s="958"/>
      <c r="R2" s="958"/>
      <c r="S2" s="958"/>
      <c r="T2" s="958"/>
    </row>
    <row r="3" spans="1:20" ht="15" customHeight="1">
      <c r="A3" s="919" t="s">
        <v>345</v>
      </c>
      <c r="B3" s="919" t="s">
        <v>345</v>
      </c>
      <c r="C3" s="919"/>
      <c r="D3" s="919"/>
      <c r="E3" s="1696"/>
      <c r="F3" s="1696"/>
      <c r="G3" s="1696"/>
      <c r="H3" s="1696"/>
      <c r="I3" s="1696"/>
      <c r="J3" s="1696"/>
      <c r="K3" s="1696"/>
      <c r="L3" s="1696"/>
      <c r="M3" s="1696"/>
      <c r="N3" s="1696"/>
      <c r="O3" s="1696"/>
      <c r="P3" s="957" t="s">
        <v>468</v>
      </c>
      <c r="Q3" s="957"/>
      <c r="R3" s="957"/>
      <c r="S3" s="961"/>
      <c r="T3" s="961"/>
    </row>
    <row r="4" spans="1:20" ht="15.75" customHeight="1">
      <c r="A4" s="962" t="s">
        <v>678</v>
      </c>
      <c r="B4" s="962" t="s">
        <v>678</v>
      </c>
      <c r="C4" s="962"/>
      <c r="D4" s="962"/>
      <c r="E4" s="1838" t="str">
        <f>'Thong tin'!B3</f>
        <v>10 tháng / năm 2017</v>
      </c>
      <c r="F4" s="1838"/>
      <c r="G4" s="1838"/>
      <c r="H4" s="1838"/>
      <c r="I4" s="1838"/>
      <c r="J4" s="1838"/>
      <c r="K4" s="1838"/>
      <c r="L4" s="1838"/>
      <c r="M4" s="1838"/>
      <c r="N4" s="1838"/>
      <c r="O4" s="1838"/>
      <c r="P4" s="958" t="s">
        <v>412</v>
      </c>
      <c r="Q4" s="957"/>
      <c r="R4" s="957"/>
      <c r="S4" s="961"/>
      <c r="T4" s="961"/>
    </row>
    <row r="5" spans="1:18" ht="12.75" customHeight="1">
      <c r="A5" s="963"/>
      <c r="B5" s="963"/>
      <c r="C5" s="963"/>
      <c r="F5" s="1833"/>
      <c r="G5" s="1833"/>
      <c r="H5" s="1833"/>
      <c r="I5" s="1833"/>
      <c r="J5" s="1833"/>
      <c r="K5" s="1833"/>
      <c r="L5" s="1833"/>
      <c r="M5" s="1833"/>
      <c r="N5" s="1833"/>
      <c r="O5" s="1833"/>
      <c r="P5" s="964" t="s">
        <v>444</v>
      </c>
      <c r="Q5" s="965"/>
      <c r="R5" s="965"/>
    </row>
    <row r="6" spans="1:20" s="966" customFormat="1" ht="14.25" customHeight="1">
      <c r="A6" s="1821" t="s">
        <v>72</v>
      </c>
      <c r="B6" s="1823"/>
      <c r="C6" s="1814" t="s">
        <v>38</v>
      </c>
      <c r="D6" s="1747"/>
      <c r="E6" s="1814" t="s">
        <v>7</v>
      </c>
      <c r="F6" s="1815"/>
      <c r="G6" s="1815"/>
      <c r="H6" s="1815"/>
      <c r="I6" s="1815"/>
      <c r="J6" s="1815"/>
      <c r="K6" s="1815"/>
      <c r="L6" s="1815"/>
      <c r="M6" s="1815"/>
      <c r="N6" s="1815"/>
      <c r="O6" s="1815"/>
      <c r="P6" s="1815"/>
      <c r="Q6" s="1815"/>
      <c r="R6" s="1815"/>
      <c r="S6" s="1815"/>
      <c r="T6" s="1747"/>
    </row>
    <row r="7" spans="1:20" s="966" customFormat="1" ht="14.25" customHeight="1">
      <c r="A7" s="1841"/>
      <c r="B7" s="1842"/>
      <c r="C7" s="1812" t="s">
        <v>445</v>
      </c>
      <c r="D7" s="1812" t="s">
        <v>446</v>
      </c>
      <c r="E7" s="1814" t="s">
        <v>314</v>
      </c>
      <c r="F7" s="1836"/>
      <c r="G7" s="1836"/>
      <c r="H7" s="1836"/>
      <c r="I7" s="1836"/>
      <c r="J7" s="1836"/>
      <c r="K7" s="1836"/>
      <c r="L7" s="1837"/>
      <c r="M7" s="1814" t="s">
        <v>447</v>
      </c>
      <c r="N7" s="1815"/>
      <c r="O7" s="1815"/>
      <c r="P7" s="1815"/>
      <c r="Q7" s="1815"/>
      <c r="R7" s="1815"/>
      <c r="S7" s="1815"/>
      <c r="T7" s="1747"/>
    </row>
    <row r="8" spans="1:20" s="966" customFormat="1" ht="13.5" customHeight="1">
      <c r="A8" s="1841"/>
      <c r="B8" s="1842"/>
      <c r="C8" s="1816"/>
      <c r="D8" s="1816"/>
      <c r="E8" s="1803" t="s">
        <v>448</v>
      </c>
      <c r="F8" s="1803"/>
      <c r="G8" s="1814" t="s">
        <v>449</v>
      </c>
      <c r="H8" s="1815"/>
      <c r="I8" s="1815"/>
      <c r="J8" s="1815"/>
      <c r="K8" s="1815"/>
      <c r="L8" s="1747"/>
      <c r="M8" s="1803" t="s">
        <v>450</v>
      </c>
      <c r="N8" s="1803"/>
      <c r="O8" s="1814" t="s">
        <v>449</v>
      </c>
      <c r="P8" s="1815"/>
      <c r="Q8" s="1815"/>
      <c r="R8" s="1815"/>
      <c r="S8" s="1815"/>
      <c r="T8" s="1747"/>
    </row>
    <row r="9" spans="1:20" s="966" customFormat="1" ht="31.5" customHeight="1">
      <c r="A9" s="1841"/>
      <c r="B9" s="1842"/>
      <c r="C9" s="1816"/>
      <c r="D9" s="1816"/>
      <c r="E9" s="1812" t="s">
        <v>315</v>
      </c>
      <c r="F9" s="1812" t="s">
        <v>316</v>
      </c>
      <c r="G9" s="1834" t="s">
        <v>317</v>
      </c>
      <c r="H9" s="1835"/>
      <c r="I9" s="1834" t="s">
        <v>318</v>
      </c>
      <c r="J9" s="1835"/>
      <c r="K9" s="1834" t="s">
        <v>319</v>
      </c>
      <c r="L9" s="1835"/>
      <c r="M9" s="1812" t="s">
        <v>320</v>
      </c>
      <c r="N9" s="1812" t="s">
        <v>316</v>
      </c>
      <c r="O9" s="1834" t="s">
        <v>317</v>
      </c>
      <c r="P9" s="1835"/>
      <c r="Q9" s="1834" t="s">
        <v>321</v>
      </c>
      <c r="R9" s="1835"/>
      <c r="S9" s="1834" t="s">
        <v>322</v>
      </c>
      <c r="T9" s="1835"/>
    </row>
    <row r="10" spans="1:20" s="966" customFormat="1" ht="14.25" customHeight="1">
      <c r="A10" s="1834"/>
      <c r="B10" s="1835"/>
      <c r="C10" s="1813"/>
      <c r="D10" s="1813"/>
      <c r="E10" s="1813"/>
      <c r="F10" s="1813"/>
      <c r="G10" s="967" t="s">
        <v>320</v>
      </c>
      <c r="H10" s="967" t="s">
        <v>316</v>
      </c>
      <c r="I10" s="968" t="s">
        <v>320</v>
      </c>
      <c r="J10" s="967" t="s">
        <v>316</v>
      </c>
      <c r="K10" s="968" t="s">
        <v>320</v>
      </c>
      <c r="L10" s="967" t="s">
        <v>316</v>
      </c>
      <c r="M10" s="1813"/>
      <c r="N10" s="1813"/>
      <c r="O10" s="967" t="s">
        <v>320</v>
      </c>
      <c r="P10" s="967" t="s">
        <v>316</v>
      </c>
      <c r="Q10" s="968" t="s">
        <v>320</v>
      </c>
      <c r="R10" s="967" t="s">
        <v>316</v>
      </c>
      <c r="S10" s="968" t="s">
        <v>320</v>
      </c>
      <c r="T10" s="967" t="s">
        <v>316</v>
      </c>
    </row>
    <row r="11" spans="1:20" s="906" customFormat="1" ht="14.25" customHeight="1">
      <c r="A11" s="1839" t="s">
        <v>6</v>
      </c>
      <c r="B11" s="1840"/>
      <c r="C11" s="969">
        <v>1</v>
      </c>
      <c r="D11" s="970">
        <v>2</v>
      </c>
      <c r="E11" s="969">
        <v>3</v>
      </c>
      <c r="F11" s="970">
        <v>4</v>
      </c>
      <c r="G11" s="969">
        <v>5</v>
      </c>
      <c r="H11" s="970">
        <v>6</v>
      </c>
      <c r="I11" s="969">
        <v>7</v>
      </c>
      <c r="J11" s="970">
        <v>8</v>
      </c>
      <c r="K11" s="969">
        <v>9</v>
      </c>
      <c r="L11" s="970">
        <v>10</v>
      </c>
      <c r="M11" s="969">
        <v>11</v>
      </c>
      <c r="N11" s="970">
        <v>12</v>
      </c>
      <c r="O11" s="969">
        <v>13</v>
      </c>
      <c r="P11" s="970">
        <v>14</v>
      </c>
      <c r="Q11" s="969">
        <v>15</v>
      </c>
      <c r="R11" s="970">
        <v>16</v>
      </c>
      <c r="S11" s="969">
        <v>17</v>
      </c>
      <c r="T11" s="970">
        <v>18</v>
      </c>
    </row>
    <row r="12" spans="1:20" s="972" customFormat="1" ht="14.25" customHeight="1">
      <c r="A12" s="1843" t="s">
        <v>37</v>
      </c>
      <c r="B12" s="1844"/>
      <c r="C12" s="971">
        <f>C13+C14</f>
        <v>0</v>
      </c>
      <c r="D12" s="971">
        <f aca="true" t="shared" si="0" ref="D12:T12">D13+D14</f>
        <v>0</v>
      </c>
      <c r="E12" s="971">
        <f t="shared" si="0"/>
        <v>0</v>
      </c>
      <c r="F12" s="971">
        <f t="shared" si="0"/>
        <v>0</v>
      </c>
      <c r="G12" s="971">
        <f t="shared" si="0"/>
        <v>0</v>
      </c>
      <c r="H12" s="971">
        <f t="shared" si="0"/>
        <v>0</v>
      </c>
      <c r="I12" s="971">
        <f t="shared" si="0"/>
        <v>0</v>
      </c>
      <c r="J12" s="971">
        <f t="shared" si="0"/>
        <v>0</v>
      </c>
      <c r="K12" s="971">
        <f t="shared" si="0"/>
        <v>0</v>
      </c>
      <c r="L12" s="971">
        <f t="shared" si="0"/>
        <v>0</v>
      </c>
      <c r="M12" s="971">
        <f t="shared" si="0"/>
        <v>0</v>
      </c>
      <c r="N12" s="971">
        <f t="shared" si="0"/>
        <v>0</v>
      </c>
      <c r="O12" s="971">
        <f t="shared" si="0"/>
        <v>0</v>
      </c>
      <c r="P12" s="971">
        <f t="shared" si="0"/>
        <v>0</v>
      </c>
      <c r="Q12" s="971">
        <f t="shared" si="0"/>
        <v>0</v>
      </c>
      <c r="R12" s="971">
        <f t="shared" si="0"/>
        <v>0</v>
      </c>
      <c r="S12" s="971">
        <f t="shared" si="0"/>
        <v>0</v>
      </c>
      <c r="T12" s="971">
        <f t="shared" si="0"/>
        <v>0</v>
      </c>
    </row>
    <row r="13" spans="1:20" s="972" customFormat="1" ht="14.25" customHeight="1">
      <c r="A13" s="933" t="s">
        <v>0</v>
      </c>
      <c r="B13" s="934" t="s">
        <v>786</v>
      </c>
      <c r="C13" s="973">
        <f>E13+M13</f>
        <v>0</v>
      </c>
      <c r="D13" s="971">
        <f>F13+N13</f>
        <v>0</v>
      </c>
      <c r="E13" s="973">
        <f>G13+I13+K13</f>
        <v>0</v>
      </c>
      <c r="F13" s="971">
        <f>H13+J13+L13</f>
        <v>0</v>
      </c>
      <c r="G13" s="974"/>
      <c r="H13" s="975"/>
      <c r="I13" s="974"/>
      <c r="J13" s="975"/>
      <c r="K13" s="974"/>
      <c r="L13" s="975"/>
      <c r="M13" s="973">
        <f>O13+Q13+S13</f>
        <v>0</v>
      </c>
      <c r="N13" s="971">
        <f>P13+R13+T13</f>
        <v>0</v>
      </c>
      <c r="O13" s="974"/>
      <c r="P13" s="975"/>
      <c r="Q13" s="974"/>
      <c r="R13" s="975"/>
      <c r="S13" s="974"/>
      <c r="T13" s="975"/>
    </row>
    <row r="14" spans="1:20" s="972" customFormat="1" ht="14.25" customHeight="1">
      <c r="A14" s="935" t="s">
        <v>1</v>
      </c>
      <c r="B14" s="934" t="s">
        <v>19</v>
      </c>
      <c r="C14" s="973">
        <f>SUM(C15:C29)</f>
        <v>0</v>
      </c>
      <c r="D14" s="973">
        <f aca="true" t="shared" si="1" ref="D14:T14">SUM(D15:D29)</f>
        <v>0</v>
      </c>
      <c r="E14" s="973">
        <f t="shared" si="1"/>
        <v>0</v>
      </c>
      <c r="F14" s="973">
        <f t="shared" si="1"/>
        <v>0</v>
      </c>
      <c r="G14" s="973">
        <f t="shared" si="1"/>
        <v>0</v>
      </c>
      <c r="H14" s="973">
        <f t="shared" si="1"/>
        <v>0</v>
      </c>
      <c r="I14" s="973">
        <f t="shared" si="1"/>
        <v>0</v>
      </c>
      <c r="J14" s="973">
        <f t="shared" si="1"/>
        <v>0</v>
      </c>
      <c r="K14" s="973">
        <f t="shared" si="1"/>
        <v>0</v>
      </c>
      <c r="L14" s="973">
        <f t="shared" si="1"/>
        <v>0</v>
      </c>
      <c r="M14" s="973">
        <f t="shared" si="1"/>
        <v>0</v>
      </c>
      <c r="N14" s="973">
        <f t="shared" si="1"/>
        <v>0</v>
      </c>
      <c r="O14" s="973">
        <f t="shared" si="1"/>
        <v>0</v>
      </c>
      <c r="P14" s="973">
        <f t="shared" si="1"/>
        <v>0</v>
      </c>
      <c r="Q14" s="973">
        <f t="shared" si="1"/>
        <v>0</v>
      </c>
      <c r="R14" s="973">
        <f t="shared" si="1"/>
        <v>0</v>
      </c>
      <c r="S14" s="973">
        <f t="shared" si="1"/>
        <v>0</v>
      </c>
      <c r="T14" s="971">
        <f t="shared" si="1"/>
        <v>0</v>
      </c>
    </row>
    <row r="15" spans="1:20" s="972" customFormat="1" ht="14.25" customHeight="1">
      <c r="A15" s="900">
        <v>1</v>
      </c>
      <c r="B15" s="913" t="s">
        <v>787</v>
      </c>
      <c r="C15" s="973">
        <f aca="true" t="shared" si="2" ref="C15:D29">E15+M15</f>
        <v>0</v>
      </c>
      <c r="D15" s="971">
        <f t="shared" si="2"/>
        <v>0</v>
      </c>
      <c r="E15" s="973">
        <f aca="true" t="shared" si="3" ref="E15:F29">G15+I15+K15</f>
        <v>0</v>
      </c>
      <c r="F15" s="971">
        <f t="shared" si="3"/>
        <v>0</v>
      </c>
      <c r="G15" s="974"/>
      <c r="H15" s="975"/>
      <c r="I15" s="974"/>
      <c r="J15" s="975"/>
      <c r="K15" s="974"/>
      <c r="L15" s="975"/>
      <c r="M15" s="973">
        <f aca="true" t="shared" si="4" ref="M15:N29">O15+Q15+S15</f>
        <v>0</v>
      </c>
      <c r="N15" s="971">
        <f t="shared" si="4"/>
        <v>0</v>
      </c>
      <c r="O15" s="974"/>
      <c r="P15" s="975"/>
      <c r="Q15" s="974"/>
      <c r="R15" s="975"/>
      <c r="S15" s="974"/>
      <c r="T15" s="975"/>
    </row>
    <row r="16" spans="1:20" s="972" customFormat="1" ht="14.25" customHeight="1">
      <c r="A16" s="900">
        <v>2</v>
      </c>
      <c r="B16" s="913" t="s">
        <v>788</v>
      </c>
      <c r="C16" s="973">
        <f t="shared" si="2"/>
        <v>0</v>
      </c>
      <c r="D16" s="971">
        <f t="shared" si="2"/>
        <v>0</v>
      </c>
      <c r="E16" s="973">
        <f t="shared" si="3"/>
        <v>0</v>
      </c>
      <c r="F16" s="971">
        <f t="shared" si="3"/>
        <v>0</v>
      </c>
      <c r="G16" s="974"/>
      <c r="H16" s="975"/>
      <c r="I16" s="974"/>
      <c r="J16" s="975"/>
      <c r="K16" s="974"/>
      <c r="L16" s="975"/>
      <c r="M16" s="973">
        <f t="shared" si="4"/>
        <v>0</v>
      </c>
      <c r="N16" s="971">
        <f t="shared" si="4"/>
        <v>0</v>
      </c>
      <c r="O16" s="974"/>
      <c r="P16" s="975"/>
      <c r="Q16" s="974"/>
      <c r="R16" s="975"/>
      <c r="S16" s="974"/>
      <c r="T16" s="975"/>
    </row>
    <row r="17" spans="1:20" s="972" customFormat="1" ht="14.25" customHeight="1">
      <c r="A17" s="900">
        <v>3</v>
      </c>
      <c r="B17" s="913" t="s">
        <v>789</v>
      </c>
      <c r="C17" s="973">
        <f t="shared" si="2"/>
        <v>0</v>
      </c>
      <c r="D17" s="971">
        <f t="shared" si="2"/>
        <v>0</v>
      </c>
      <c r="E17" s="973">
        <f t="shared" si="3"/>
        <v>0</v>
      </c>
      <c r="F17" s="971">
        <f t="shared" si="3"/>
        <v>0</v>
      </c>
      <c r="G17" s="974"/>
      <c r="H17" s="975"/>
      <c r="I17" s="974"/>
      <c r="J17" s="975"/>
      <c r="K17" s="974"/>
      <c r="L17" s="975"/>
      <c r="M17" s="973">
        <f t="shared" si="4"/>
        <v>0</v>
      </c>
      <c r="N17" s="971">
        <f t="shared" si="4"/>
        <v>0</v>
      </c>
      <c r="O17" s="974"/>
      <c r="P17" s="975"/>
      <c r="Q17" s="974"/>
      <c r="R17" s="975"/>
      <c r="S17" s="974"/>
      <c r="T17" s="975"/>
    </row>
    <row r="18" spans="1:20" s="972" customFormat="1" ht="14.25" customHeight="1">
      <c r="A18" s="900">
        <v>4</v>
      </c>
      <c r="B18" s="913" t="s">
        <v>790</v>
      </c>
      <c r="C18" s="973">
        <f t="shared" si="2"/>
        <v>0</v>
      </c>
      <c r="D18" s="971">
        <f t="shared" si="2"/>
        <v>0</v>
      </c>
      <c r="E18" s="973">
        <f t="shared" si="3"/>
        <v>0</v>
      </c>
      <c r="F18" s="971">
        <f t="shared" si="3"/>
        <v>0</v>
      </c>
      <c r="G18" s="974"/>
      <c r="H18" s="975"/>
      <c r="I18" s="974"/>
      <c r="J18" s="975"/>
      <c r="K18" s="974"/>
      <c r="L18" s="975"/>
      <c r="M18" s="973">
        <f t="shared" si="4"/>
        <v>0</v>
      </c>
      <c r="N18" s="971">
        <f t="shared" si="4"/>
        <v>0</v>
      </c>
      <c r="O18" s="974"/>
      <c r="P18" s="975"/>
      <c r="Q18" s="974"/>
      <c r="R18" s="975"/>
      <c r="S18" s="974"/>
      <c r="T18" s="975"/>
    </row>
    <row r="19" spans="1:20" s="972" customFormat="1" ht="14.25" customHeight="1">
      <c r="A19" s="900">
        <v>5</v>
      </c>
      <c r="B19" s="913" t="s">
        <v>791</v>
      </c>
      <c r="C19" s="973">
        <f t="shared" si="2"/>
        <v>0</v>
      </c>
      <c r="D19" s="971">
        <f t="shared" si="2"/>
        <v>0</v>
      </c>
      <c r="E19" s="973">
        <f t="shared" si="3"/>
        <v>0</v>
      </c>
      <c r="F19" s="971">
        <f t="shared" si="3"/>
        <v>0</v>
      </c>
      <c r="G19" s="974"/>
      <c r="H19" s="975"/>
      <c r="I19" s="974"/>
      <c r="J19" s="975"/>
      <c r="K19" s="974"/>
      <c r="L19" s="975"/>
      <c r="M19" s="973">
        <f t="shared" si="4"/>
        <v>0</v>
      </c>
      <c r="N19" s="971">
        <f t="shared" si="4"/>
        <v>0</v>
      </c>
      <c r="O19" s="974"/>
      <c r="P19" s="975"/>
      <c r="Q19" s="974"/>
      <c r="R19" s="975"/>
      <c r="S19" s="974"/>
      <c r="T19" s="975"/>
    </row>
    <row r="20" spans="1:20" s="972" customFormat="1" ht="14.25" customHeight="1">
      <c r="A20" s="900">
        <v>6</v>
      </c>
      <c r="B20" s="913" t="s">
        <v>792</v>
      </c>
      <c r="C20" s="973">
        <f t="shared" si="2"/>
        <v>0</v>
      </c>
      <c r="D20" s="971">
        <f t="shared" si="2"/>
        <v>0</v>
      </c>
      <c r="E20" s="973">
        <f t="shared" si="3"/>
        <v>0</v>
      </c>
      <c r="F20" s="971">
        <f t="shared" si="3"/>
        <v>0</v>
      </c>
      <c r="G20" s="974"/>
      <c r="H20" s="975"/>
      <c r="I20" s="974"/>
      <c r="J20" s="975"/>
      <c r="K20" s="974"/>
      <c r="L20" s="975"/>
      <c r="M20" s="973">
        <f t="shared" si="4"/>
        <v>0</v>
      </c>
      <c r="N20" s="971">
        <f t="shared" si="4"/>
        <v>0</v>
      </c>
      <c r="O20" s="974"/>
      <c r="P20" s="975"/>
      <c r="Q20" s="974"/>
      <c r="R20" s="975"/>
      <c r="S20" s="974"/>
      <c r="T20" s="975"/>
    </row>
    <row r="21" spans="1:20" s="972" customFormat="1" ht="14.25" customHeight="1">
      <c r="A21" s="900">
        <v>7</v>
      </c>
      <c r="B21" s="913" t="s">
        <v>793</v>
      </c>
      <c r="C21" s="973">
        <f t="shared" si="2"/>
        <v>0</v>
      </c>
      <c r="D21" s="971">
        <f t="shared" si="2"/>
        <v>0</v>
      </c>
      <c r="E21" s="973">
        <f t="shared" si="3"/>
        <v>0</v>
      </c>
      <c r="F21" s="971">
        <f t="shared" si="3"/>
        <v>0</v>
      </c>
      <c r="G21" s="974"/>
      <c r="H21" s="975"/>
      <c r="I21" s="974"/>
      <c r="J21" s="975"/>
      <c r="K21" s="974"/>
      <c r="L21" s="975"/>
      <c r="M21" s="973">
        <f t="shared" si="4"/>
        <v>0</v>
      </c>
      <c r="N21" s="971">
        <f t="shared" si="4"/>
        <v>0</v>
      </c>
      <c r="O21" s="974"/>
      <c r="P21" s="975"/>
      <c r="Q21" s="974"/>
      <c r="R21" s="975"/>
      <c r="S21" s="974"/>
      <c r="T21" s="975"/>
    </row>
    <row r="22" spans="1:20" s="972" customFormat="1" ht="14.25" customHeight="1">
      <c r="A22" s="900">
        <v>8</v>
      </c>
      <c r="B22" s="913" t="s">
        <v>794</v>
      </c>
      <c r="C22" s="973">
        <f t="shared" si="2"/>
        <v>0</v>
      </c>
      <c r="D22" s="971">
        <f t="shared" si="2"/>
        <v>0</v>
      </c>
      <c r="E22" s="973">
        <f t="shared" si="3"/>
        <v>0</v>
      </c>
      <c r="F22" s="971">
        <f t="shared" si="3"/>
        <v>0</v>
      </c>
      <c r="G22" s="974"/>
      <c r="H22" s="975"/>
      <c r="I22" s="974"/>
      <c r="J22" s="975"/>
      <c r="K22" s="974"/>
      <c r="L22" s="975"/>
      <c r="M22" s="973">
        <f t="shared" si="4"/>
        <v>0</v>
      </c>
      <c r="N22" s="971">
        <f t="shared" si="4"/>
        <v>0</v>
      </c>
      <c r="O22" s="974"/>
      <c r="P22" s="975"/>
      <c r="Q22" s="974"/>
      <c r="R22" s="975"/>
      <c r="S22" s="974"/>
      <c r="T22" s="975"/>
    </row>
    <row r="23" spans="1:20" s="972" customFormat="1" ht="14.25" customHeight="1">
      <c r="A23" s="900">
        <v>9</v>
      </c>
      <c r="B23" s="913" t="s">
        <v>795</v>
      </c>
      <c r="C23" s="973">
        <f t="shared" si="2"/>
        <v>0</v>
      </c>
      <c r="D23" s="971">
        <f t="shared" si="2"/>
        <v>0</v>
      </c>
      <c r="E23" s="973">
        <f t="shared" si="3"/>
        <v>0</v>
      </c>
      <c r="F23" s="971">
        <f t="shared" si="3"/>
        <v>0</v>
      </c>
      <c r="G23" s="974"/>
      <c r="H23" s="975"/>
      <c r="I23" s="974"/>
      <c r="J23" s="975"/>
      <c r="K23" s="974"/>
      <c r="L23" s="975"/>
      <c r="M23" s="973">
        <f t="shared" si="4"/>
        <v>0</v>
      </c>
      <c r="N23" s="971">
        <f t="shared" si="4"/>
        <v>0</v>
      </c>
      <c r="O23" s="974"/>
      <c r="P23" s="975"/>
      <c r="Q23" s="974"/>
      <c r="R23" s="975"/>
      <c r="S23" s="974"/>
      <c r="T23" s="975"/>
    </row>
    <row r="24" spans="1:20" s="972" customFormat="1" ht="14.25" customHeight="1">
      <c r="A24" s="900">
        <v>10</v>
      </c>
      <c r="B24" s="913" t="s">
        <v>796</v>
      </c>
      <c r="C24" s="973">
        <f t="shared" si="2"/>
        <v>0</v>
      </c>
      <c r="D24" s="971">
        <f t="shared" si="2"/>
        <v>0</v>
      </c>
      <c r="E24" s="973">
        <f t="shared" si="3"/>
        <v>0</v>
      </c>
      <c r="F24" s="971">
        <f t="shared" si="3"/>
        <v>0</v>
      </c>
      <c r="G24" s="974"/>
      <c r="H24" s="975"/>
      <c r="I24" s="974"/>
      <c r="J24" s="975"/>
      <c r="K24" s="974"/>
      <c r="L24" s="975"/>
      <c r="M24" s="973">
        <f t="shared" si="4"/>
        <v>0</v>
      </c>
      <c r="N24" s="971">
        <f t="shared" si="4"/>
        <v>0</v>
      </c>
      <c r="O24" s="974"/>
      <c r="P24" s="975"/>
      <c r="Q24" s="974"/>
      <c r="R24" s="975"/>
      <c r="S24" s="974"/>
      <c r="T24" s="975"/>
    </row>
    <row r="25" spans="1:20" s="972" customFormat="1" ht="14.25" customHeight="1">
      <c r="A25" s="900">
        <v>11</v>
      </c>
      <c r="B25" s="913" t="s">
        <v>797</v>
      </c>
      <c r="C25" s="973">
        <f t="shared" si="2"/>
        <v>0</v>
      </c>
      <c r="D25" s="971">
        <f t="shared" si="2"/>
        <v>0</v>
      </c>
      <c r="E25" s="973">
        <f t="shared" si="3"/>
        <v>0</v>
      </c>
      <c r="F25" s="971">
        <f t="shared" si="3"/>
        <v>0</v>
      </c>
      <c r="G25" s="974"/>
      <c r="H25" s="975"/>
      <c r="I25" s="974"/>
      <c r="J25" s="975"/>
      <c r="K25" s="974"/>
      <c r="L25" s="975"/>
      <c r="M25" s="973">
        <f t="shared" si="4"/>
        <v>0</v>
      </c>
      <c r="N25" s="971">
        <f t="shared" si="4"/>
        <v>0</v>
      </c>
      <c r="O25" s="974"/>
      <c r="P25" s="975"/>
      <c r="Q25" s="974"/>
      <c r="R25" s="975"/>
      <c r="S25" s="974"/>
      <c r="T25" s="975"/>
    </row>
    <row r="26" spans="1:20" s="972" customFormat="1" ht="14.25" customHeight="1">
      <c r="A26" s="900">
        <v>12</v>
      </c>
      <c r="B26" s="913" t="s">
        <v>798</v>
      </c>
      <c r="C26" s="973">
        <f t="shared" si="2"/>
        <v>0</v>
      </c>
      <c r="D26" s="971">
        <f t="shared" si="2"/>
        <v>0</v>
      </c>
      <c r="E26" s="973">
        <f t="shared" si="3"/>
        <v>0</v>
      </c>
      <c r="F26" s="971">
        <f t="shared" si="3"/>
        <v>0</v>
      </c>
      <c r="G26" s="974"/>
      <c r="H26" s="975"/>
      <c r="I26" s="974"/>
      <c r="J26" s="975"/>
      <c r="K26" s="974"/>
      <c r="L26" s="975"/>
      <c r="M26" s="973">
        <f t="shared" si="4"/>
        <v>0</v>
      </c>
      <c r="N26" s="971">
        <f t="shared" si="4"/>
        <v>0</v>
      </c>
      <c r="O26" s="974"/>
      <c r="P26" s="975"/>
      <c r="Q26" s="974"/>
      <c r="R26" s="975"/>
      <c r="S26" s="974"/>
      <c r="T26" s="975"/>
    </row>
    <row r="27" spans="1:20" s="972" customFormat="1" ht="14.25" customHeight="1">
      <c r="A27" s="900">
        <v>13</v>
      </c>
      <c r="B27" s="913" t="s">
        <v>799</v>
      </c>
      <c r="C27" s="973">
        <f t="shared" si="2"/>
        <v>0</v>
      </c>
      <c r="D27" s="971">
        <f t="shared" si="2"/>
        <v>0</v>
      </c>
      <c r="E27" s="973">
        <f t="shared" si="3"/>
        <v>0</v>
      </c>
      <c r="F27" s="971">
        <f t="shared" si="3"/>
        <v>0</v>
      </c>
      <c r="G27" s="974"/>
      <c r="H27" s="975"/>
      <c r="I27" s="974"/>
      <c r="J27" s="975"/>
      <c r="K27" s="974"/>
      <c r="L27" s="975"/>
      <c r="M27" s="973">
        <f t="shared" si="4"/>
        <v>0</v>
      </c>
      <c r="N27" s="971">
        <f t="shared" si="4"/>
        <v>0</v>
      </c>
      <c r="O27" s="974"/>
      <c r="P27" s="975"/>
      <c r="Q27" s="974"/>
      <c r="R27" s="975"/>
      <c r="S27" s="974"/>
      <c r="T27" s="975"/>
    </row>
    <row r="28" spans="1:20" s="972" customFormat="1" ht="13.5" customHeight="1">
      <c r="A28" s="900">
        <v>14</v>
      </c>
      <c r="B28" s="913" t="s">
        <v>800</v>
      </c>
      <c r="C28" s="973">
        <f t="shared" si="2"/>
        <v>0</v>
      </c>
      <c r="D28" s="971">
        <f t="shared" si="2"/>
        <v>0</v>
      </c>
      <c r="E28" s="973">
        <f t="shared" si="3"/>
        <v>0</v>
      </c>
      <c r="F28" s="971">
        <f t="shared" si="3"/>
        <v>0</v>
      </c>
      <c r="G28" s="974"/>
      <c r="H28" s="975"/>
      <c r="I28" s="974"/>
      <c r="J28" s="975"/>
      <c r="K28" s="974"/>
      <c r="L28" s="975"/>
      <c r="M28" s="973">
        <f t="shared" si="4"/>
        <v>0</v>
      </c>
      <c r="N28" s="971">
        <f t="shared" si="4"/>
        <v>0</v>
      </c>
      <c r="O28" s="974"/>
      <c r="P28" s="975"/>
      <c r="Q28" s="974"/>
      <c r="R28" s="975"/>
      <c r="S28" s="974"/>
      <c r="T28" s="975"/>
    </row>
    <row r="29" spans="1:20" s="972" customFormat="1" ht="14.25" customHeight="1">
      <c r="A29" s="900">
        <v>15</v>
      </c>
      <c r="B29" s="913" t="s">
        <v>801</v>
      </c>
      <c r="C29" s="973">
        <f t="shared" si="2"/>
        <v>0</v>
      </c>
      <c r="D29" s="971">
        <f t="shared" si="2"/>
        <v>0</v>
      </c>
      <c r="E29" s="973">
        <f t="shared" si="3"/>
        <v>0</v>
      </c>
      <c r="F29" s="971">
        <f t="shared" si="3"/>
        <v>0</v>
      </c>
      <c r="G29" s="974"/>
      <c r="H29" s="975"/>
      <c r="I29" s="974"/>
      <c r="J29" s="975"/>
      <c r="K29" s="974"/>
      <c r="L29" s="975"/>
      <c r="M29" s="973">
        <f t="shared" si="4"/>
        <v>0</v>
      </c>
      <c r="N29" s="971">
        <f t="shared" si="4"/>
        <v>0</v>
      </c>
      <c r="O29" s="974"/>
      <c r="P29" s="975"/>
      <c r="Q29" s="974"/>
      <c r="R29" s="975"/>
      <c r="S29" s="974"/>
      <c r="T29" s="975"/>
    </row>
    <row r="30" spans="1:20" ht="17.25" customHeight="1">
      <c r="A30" s="976"/>
      <c r="B30" s="1699"/>
      <c r="C30" s="1699"/>
      <c r="D30" s="1699"/>
      <c r="E30" s="1699"/>
      <c r="F30" s="1699"/>
      <c r="G30" s="1699"/>
      <c r="H30" s="939"/>
      <c r="I30" s="939"/>
      <c r="J30" s="948"/>
      <c r="K30" s="939"/>
      <c r="L30" s="1805" t="str">
        <f>'Thong tin'!B8</f>
        <v>Hải Phòng, ngày 03 tháng 8 năm 2017</v>
      </c>
      <c r="M30" s="1805"/>
      <c r="N30" s="1805"/>
      <c r="O30" s="1805"/>
      <c r="P30" s="1805"/>
      <c r="Q30" s="1805"/>
      <c r="R30" s="1805"/>
      <c r="S30" s="1805"/>
      <c r="T30" s="1805"/>
    </row>
    <row r="31" spans="1:20" ht="17.25" customHeight="1">
      <c r="A31" s="976"/>
      <c r="B31" s="1701" t="s">
        <v>43</v>
      </c>
      <c r="C31" s="1701"/>
      <c r="D31" s="1701"/>
      <c r="E31" s="1701"/>
      <c r="F31" s="1701"/>
      <c r="G31" s="1701"/>
      <c r="H31" s="941"/>
      <c r="I31" s="941"/>
      <c r="J31" s="941"/>
      <c r="K31" s="941"/>
      <c r="L31" s="1702" t="str">
        <f>'Thong tin'!B7</f>
        <v>
PHÓ CỤC TRƯỞNG</v>
      </c>
      <c r="M31" s="1702"/>
      <c r="N31" s="1702"/>
      <c r="O31" s="1702"/>
      <c r="P31" s="1702"/>
      <c r="Q31" s="1702"/>
      <c r="R31" s="1702"/>
      <c r="S31" s="1702"/>
      <c r="T31" s="1702"/>
    </row>
    <row r="32" spans="1:20" s="978" customFormat="1" ht="18.75">
      <c r="A32" s="977"/>
      <c r="B32" s="1707"/>
      <c r="C32" s="1707"/>
      <c r="D32" s="1707"/>
      <c r="E32" s="1707"/>
      <c r="F32" s="1707"/>
      <c r="G32" s="945"/>
      <c r="H32" s="945"/>
      <c r="I32" s="945"/>
      <c r="J32" s="945"/>
      <c r="K32" s="945"/>
      <c r="L32" s="1702"/>
      <c r="M32" s="1702"/>
      <c r="N32" s="1702"/>
      <c r="O32" s="1702"/>
      <c r="P32" s="1702"/>
      <c r="Q32" s="1702"/>
      <c r="R32" s="1702"/>
      <c r="S32" s="1702"/>
      <c r="T32" s="1702"/>
    </row>
    <row r="33" spans="1:20" s="978" customFormat="1" ht="18.75">
      <c r="A33" s="977"/>
      <c r="B33" s="979"/>
      <c r="C33" s="979"/>
      <c r="D33" s="979"/>
      <c r="E33" s="979"/>
      <c r="F33" s="979"/>
      <c r="G33" s="945"/>
      <c r="H33" s="945"/>
      <c r="I33" s="945"/>
      <c r="J33" s="945"/>
      <c r="K33" s="945"/>
      <c r="L33" s="943"/>
      <c r="M33" s="943"/>
      <c r="N33" s="943"/>
      <c r="O33" s="943"/>
      <c r="P33" s="943"/>
      <c r="Q33" s="943"/>
      <c r="R33" s="943"/>
      <c r="S33" s="943"/>
      <c r="T33" s="943"/>
    </row>
    <row r="34" spans="1:20" s="978" customFormat="1" ht="18.75">
      <c r="A34" s="977"/>
      <c r="B34" s="979"/>
      <c r="C34" s="979"/>
      <c r="D34" s="979"/>
      <c r="E34" s="979"/>
      <c r="F34" s="979"/>
      <c r="G34" s="945"/>
      <c r="H34" s="945"/>
      <c r="I34" s="945"/>
      <c r="J34" s="945"/>
      <c r="K34" s="945"/>
      <c r="L34" s="943"/>
      <c r="M34" s="943"/>
      <c r="N34" s="943"/>
      <c r="O34" s="943"/>
      <c r="P34" s="943"/>
      <c r="Q34" s="943"/>
      <c r="R34" s="943"/>
      <c r="S34" s="943"/>
      <c r="T34" s="943"/>
    </row>
    <row r="35" spans="1:20" s="978" customFormat="1" ht="18.75">
      <c r="A35" s="977"/>
      <c r="B35" s="945"/>
      <c r="C35" s="945"/>
      <c r="D35" s="945"/>
      <c r="E35" s="945"/>
      <c r="F35" s="945"/>
      <c r="G35" s="945"/>
      <c r="H35" s="945"/>
      <c r="I35" s="945"/>
      <c r="J35" s="945"/>
      <c r="K35" s="945"/>
      <c r="L35" s="945"/>
      <c r="M35" s="945"/>
      <c r="N35" s="945"/>
      <c r="O35" s="945"/>
      <c r="P35" s="945"/>
      <c r="Q35" s="945"/>
      <c r="R35" s="945"/>
      <c r="S35" s="945"/>
      <c r="T35" s="945"/>
    </row>
    <row r="36" spans="2:20" ht="18">
      <c r="B36" s="948"/>
      <c r="C36" s="948"/>
      <c r="D36" s="948"/>
      <c r="E36" s="948"/>
      <c r="F36" s="948"/>
      <c r="G36" s="948"/>
      <c r="H36" s="948"/>
      <c r="I36" s="948"/>
      <c r="J36" s="948"/>
      <c r="K36" s="948"/>
      <c r="L36" s="948"/>
      <c r="M36" s="948"/>
      <c r="N36" s="948"/>
      <c r="O36" s="948"/>
      <c r="P36" s="948"/>
      <c r="Q36" s="948"/>
      <c r="R36" s="948"/>
      <c r="S36" s="948"/>
      <c r="T36" s="948"/>
    </row>
    <row r="37" spans="2:20" ht="18.75">
      <c r="B37" s="1627" t="str">
        <f>'Thong tin'!B5</f>
        <v>Trần Thị Minh</v>
      </c>
      <c r="C37" s="1627"/>
      <c r="D37" s="1627"/>
      <c r="E37" s="1627"/>
      <c r="F37" s="1627"/>
      <c r="G37" s="1627"/>
      <c r="H37" s="948"/>
      <c r="I37" s="948"/>
      <c r="J37" s="948"/>
      <c r="K37" s="948"/>
      <c r="L37" s="1627" t="str">
        <f>'Thong tin'!B6</f>
        <v>Nguyễn Thị Mai Hoa</v>
      </c>
      <c r="M37" s="1627"/>
      <c r="N37" s="1627"/>
      <c r="O37" s="1627"/>
      <c r="P37" s="1627"/>
      <c r="Q37" s="1627"/>
      <c r="R37" s="1627"/>
      <c r="S37" s="1627"/>
      <c r="T37" s="1627"/>
    </row>
    <row r="38" spans="2:20" ht="18.75">
      <c r="B38" s="980"/>
      <c r="C38" s="980"/>
      <c r="D38" s="980"/>
      <c r="E38" s="980"/>
      <c r="F38" s="980"/>
      <c r="G38" s="980"/>
      <c r="H38" s="981"/>
      <c r="I38" s="980"/>
      <c r="J38" s="980"/>
      <c r="K38" s="980"/>
      <c r="L38" s="980"/>
      <c r="M38" s="980"/>
      <c r="N38" s="980"/>
      <c r="O38" s="980"/>
      <c r="P38" s="980"/>
      <c r="Q38" s="980"/>
      <c r="R38" s="980"/>
      <c r="S38" s="980"/>
      <c r="T38" s="980"/>
    </row>
    <row r="39" spans="2:20" ht="18">
      <c r="B39" s="980"/>
      <c r="C39" s="980"/>
      <c r="D39" s="980"/>
      <c r="E39" s="980"/>
      <c r="F39" s="980"/>
      <c r="G39" s="980"/>
      <c r="H39" s="980"/>
      <c r="I39" s="980"/>
      <c r="J39" s="980"/>
      <c r="K39" s="980"/>
      <c r="L39" s="980"/>
      <c r="M39" s="980"/>
      <c r="N39" s="980"/>
      <c r="O39" s="980"/>
      <c r="P39" s="980"/>
      <c r="Q39" s="980"/>
      <c r="R39" s="980"/>
      <c r="S39" s="980"/>
      <c r="T39" s="980"/>
    </row>
  </sheetData>
  <sheetProtection/>
  <mergeCells count="35">
    <mergeCell ref="A12:B12"/>
    <mergeCell ref="B30:G30"/>
    <mergeCell ref="L30:T30"/>
    <mergeCell ref="B37:G37"/>
    <mergeCell ref="L37:T37"/>
    <mergeCell ref="B31:G31"/>
    <mergeCell ref="L31:T31"/>
    <mergeCell ref="B32:F32"/>
    <mergeCell ref="L32:T32"/>
    <mergeCell ref="Q9:R9"/>
    <mergeCell ref="M7:T7"/>
    <mergeCell ref="E9:E10"/>
    <mergeCell ref="F9:F10"/>
    <mergeCell ref="I9:J9"/>
    <mergeCell ref="K9:L9"/>
    <mergeCell ref="E1:O3"/>
    <mergeCell ref="E4:O4"/>
    <mergeCell ref="G8:L8"/>
    <mergeCell ref="M8:N8"/>
    <mergeCell ref="A11:B11"/>
    <mergeCell ref="M9:M10"/>
    <mergeCell ref="N9:N10"/>
    <mergeCell ref="G9:H9"/>
    <mergeCell ref="A6:B10"/>
    <mergeCell ref="C6:D6"/>
    <mergeCell ref="A1:D1"/>
    <mergeCell ref="F5:O5"/>
    <mergeCell ref="E6:T6"/>
    <mergeCell ref="O9:P9"/>
    <mergeCell ref="C7:C10"/>
    <mergeCell ref="D7:D10"/>
    <mergeCell ref="S9:T9"/>
    <mergeCell ref="E8:F8"/>
    <mergeCell ref="O8:T8"/>
    <mergeCell ref="E7:L7"/>
  </mergeCells>
  <printOptions horizontalCentered="1"/>
  <pageMargins left="0.55" right="0.28" top="0.21" bottom="0.18" header="0.11" footer="0.26"/>
  <pageSetup horizontalDpi="600" verticalDpi="600" orientation="landscape" paperSize="9" scale="95" r:id="rId1"/>
  <ignoredErrors>
    <ignoredError sqref="C14:T14" formula="1"/>
  </ignoredErrors>
</worksheet>
</file>

<file path=xl/worksheets/sheet34.xml><?xml version="1.0" encoding="utf-8"?>
<worksheet xmlns="http://schemas.openxmlformats.org/spreadsheetml/2006/main" xmlns:r="http://schemas.openxmlformats.org/officeDocument/2006/relationships">
  <sheetPr>
    <tabColor indexed="63"/>
  </sheetPr>
  <dimension ref="A1:L43"/>
  <sheetViews>
    <sheetView view="pageBreakPreview" zoomScaleSheetLayoutView="100" zoomScalePageLayoutView="0" workbookViewId="0" topLeftCell="A16">
      <selection activeCell="A21" sqref="A1:IV16384"/>
    </sheetView>
  </sheetViews>
  <sheetFormatPr defaultColWidth="9.00390625" defaultRowHeight="15.75"/>
  <cols>
    <col min="1" max="1" width="3.75390625" style="944" customWidth="1"/>
    <col min="2" max="2" width="23.625" style="918" customWidth="1"/>
    <col min="3" max="3" width="9.25390625" style="918" customWidth="1"/>
    <col min="4" max="4" width="15.375" style="918" customWidth="1"/>
    <col min="5" max="5" width="8.375" style="918" customWidth="1"/>
    <col min="6" max="6" width="10.75390625" style="918" customWidth="1"/>
    <col min="7" max="7" width="8.25390625" style="918" customWidth="1"/>
    <col min="8" max="8" width="9.875" style="918" customWidth="1"/>
    <col min="9" max="9" width="9.00390625" style="918" customWidth="1"/>
    <col min="10" max="10" width="12.25390625" style="918" customWidth="1"/>
    <col min="11" max="11" width="9.25390625" style="918" customWidth="1"/>
    <col min="12" max="12" width="11.50390625" style="918" customWidth="1"/>
    <col min="13" max="16384" width="9.00390625" style="918" customWidth="1"/>
  </cols>
  <sheetData>
    <row r="1" spans="1:12" ht="20.25" customHeight="1">
      <c r="A1" s="915" t="s">
        <v>324</v>
      </c>
      <c r="B1" s="915"/>
      <c r="C1" s="915"/>
      <c r="D1" s="1845" t="s">
        <v>451</v>
      </c>
      <c r="E1" s="1845"/>
      <c r="F1" s="1845"/>
      <c r="G1" s="1845"/>
      <c r="H1" s="1845"/>
      <c r="I1" s="1845"/>
      <c r="J1" s="916" t="s">
        <v>452</v>
      </c>
      <c r="K1" s="917"/>
      <c r="L1" s="917"/>
    </row>
    <row r="2" spans="1:12" ht="18.75" customHeight="1">
      <c r="A2" s="919" t="s">
        <v>344</v>
      </c>
      <c r="B2" s="920"/>
      <c r="C2" s="920"/>
      <c r="D2" s="1846" t="s">
        <v>325</v>
      </c>
      <c r="E2" s="1846"/>
      <c r="F2" s="1846"/>
      <c r="G2" s="1846"/>
      <c r="H2" s="1846"/>
      <c r="I2" s="1846"/>
      <c r="J2" s="1811" t="str">
        <f>'Thong tin'!B4</f>
        <v>CTHADS Hải Phòng</v>
      </c>
      <c r="K2" s="1811"/>
      <c r="L2" s="1811"/>
    </row>
    <row r="3" spans="1:12" ht="17.25">
      <c r="A3" s="921" t="s">
        <v>345</v>
      </c>
      <c r="B3" s="921"/>
      <c r="C3" s="921"/>
      <c r="D3" s="1697" t="str">
        <f>'Thong tin'!B3</f>
        <v>10 tháng / năm 2017</v>
      </c>
      <c r="E3" s="1698"/>
      <c r="F3" s="1698"/>
      <c r="G3" s="1698"/>
      <c r="H3" s="1698"/>
      <c r="I3" s="1698"/>
      <c r="J3" s="922" t="s">
        <v>470</v>
      </c>
      <c r="K3" s="922"/>
      <c r="L3" s="922"/>
    </row>
    <row r="4" spans="1:12" ht="15.75">
      <c r="A4" s="923" t="s">
        <v>677</v>
      </c>
      <c r="B4" s="923"/>
      <c r="C4" s="923"/>
      <c r="D4" s="1850"/>
      <c r="E4" s="1850"/>
      <c r="F4" s="1850"/>
      <c r="G4" s="1850"/>
      <c r="H4" s="1850"/>
      <c r="I4" s="1850"/>
      <c r="J4" s="1720" t="s">
        <v>412</v>
      </c>
      <c r="K4" s="1720"/>
      <c r="L4" s="1720"/>
    </row>
    <row r="5" spans="1:12" ht="15.75">
      <c r="A5" s="924"/>
      <c r="B5" s="924"/>
      <c r="C5" s="925"/>
      <c r="D5" s="925"/>
      <c r="E5" s="926"/>
      <c r="J5" s="927" t="s">
        <v>456</v>
      </c>
      <c r="K5" s="928"/>
      <c r="L5" s="928"/>
    </row>
    <row r="6" spans="1:12" ht="16.5" customHeight="1">
      <c r="A6" s="1853" t="s">
        <v>72</v>
      </c>
      <c r="B6" s="1854"/>
      <c r="C6" s="1847" t="s">
        <v>457</v>
      </c>
      <c r="D6" s="1847"/>
      <c r="E6" s="1847"/>
      <c r="F6" s="1847"/>
      <c r="G6" s="1847"/>
      <c r="H6" s="1847"/>
      <c r="I6" s="1847" t="s">
        <v>326</v>
      </c>
      <c r="J6" s="1847"/>
      <c r="K6" s="1847"/>
      <c r="L6" s="1847"/>
    </row>
    <row r="7" spans="1:12" ht="16.5" customHeight="1">
      <c r="A7" s="1855"/>
      <c r="B7" s="1856"/>
      <c r="C7" s="1847" t="s">
        <v>38</v>
      </c>
      <c r="D7" s="1847"/>
      <c r="E7" s="1847" t="s">
        <v>7</v>
      </c>
      <c r="F7" s="1847"/>
      <c r="G7" s="1847"/>
      <c r="H7" s="1847"/>
      <c r="I7" s="1847" t="s">
        <v>327</v>
      </c>
      <c r="J7" s="1847"/>
      <c r="K7" s="1847" t="s">
        <v>328</v>
      </c>
      <c r="L7" s="1847"/>
    </row>
    <row r="8" spans="1:12" ht="16.5" customHeight="1">
      <c r="A8" s="1855"/>
      <c r="B8" s="1856"/>
      <c r="C8" s="1847"/>
      <c r="D8" s="1847"/>
      <c r="E8" s="1847" t="s">
        <v>329</v>
      </c>
      <c r="F8" s="1847"/>
      <c r="G8" s="1847" t="s">
        <v>330</v>
      </c>
      <c r="H8" s="1847"/>
      <c r="I8" s="1847"/>
      <c r="J8" s="1847"/>
      <c r="K8" s="1847"/>
      <c r="L8" s="1847"/>
    </row>
    <row r="9" spans="1:12" ht="16.5" customHeight="1">
      <c r="A9" s="1857"/>
      <c r="B9" s="1858"/>
      <c r="C9" s="929" t="s">
        <v>331</v>
      </c>
      <c r="D9" s="929" t="s">
        <v>10</v>
      </c>
      <c r="E9" s="929" t="s">
        <v>3</v>
      </c>
      <c r="F9" s="929" t="s">
        <v>332</v>
      </c>
      <c r="G9" s="929" t="s">
        <v>3</v>
      </c>
      <c r="H9" s="929" t="s">
        <v>332</v>
      </c>
      <c r="I9" s="929" t="s">
        <v>3</v>
      </c>
      <c r="J9" s="929" t="s">
        <v>332</v>
      </c>
      <c r="K9" s="929" t="s">
        <v>3</v>
      </c>
      <c r="L9" s="929" t="s">
        <v>332</v>
      </c>
    </row>
    <row r="10" spans="1:12" s="931" customFormat="1" ht="16.5" customHeight="1">
      <c r="A10" s="1848" t="s">
        <v>6</v>
      </c>
      <c r="B10" s="1849"/>
      <c r="C10" s="930">
        <v>1</v>
      </c>
      <c r="D10" s="930">
        <v>2</v>
      </c>
      <c r="E10" s="930">
        <v>3</v>
      </c>
      <c r="F10" s="930">
        <v>4</v>
      </c>
      <c r="G10" s="930">
        <v>5</v>
      </c>
      <c r="H10" s="930">
        <v>6</v>
      </c>
      <c r="I10" s="930">
        <v>7</v>
      </c>
      <c r="J10" s="930">
        <v>8</v>
      </c>
      <c r="K10" s="930">
        <v>9</v>
      </c>
      <c r="L10" s="930">
        <v>10</v>
      </c>
    </row>
    <row r="11" spans="1:12" s="931" customFormat="1" ht="16.5" customHeight="1">
      <c r="A11" s="1859" t="s">
        <v>37</v>
      </c>
      <c r="B11" s="1860"/>
      <c r="C11" s="932">
        <f>C12+C13</f>
        <v>1</v>
      </c>
      <c r="D11" s="932">
        <f aca="true" t="shared" si="0" ref="D11:L11">D12+D13</f>
        <v>12580000</v>
      </c>
      <c r="E11" s="932">
        <f t="shared" si="0"/>
        <v>0</v>
      </c>
      <c r="F11" s="932">
        <f t="shared" si="0"/>
        <v>0</v>
      </c>
      <c r="G11" s="932">
        <f t="shared" si="0"/>
        <v>1</v>
      </c>
      <c r="H11" s="932">
        <f t="shared" si="0"/>
        <v>12580000</v>
      </c>
      <c r="I11" s="932">
        <f t="shared" si="0"/>
        <v>0</v>
      </c>
      <c r="J11" s="932">
        <f t="shared" si="0"/>
        <v>0</v>
      </c>
      <c r="K11" s="932">
        <f t="shared" si="0"/>
        <v>1</v>
      </c>
      <c r="L11" s="932">
        <f t="shared" si="0"/>
        <v>12580000</v>
      </c>
    </row>
    <row r="12" spans="1:12" s="931" customFormat="1" ht="16.5" customHeight="1">
      <c r="A12" s="933" t="s">
        <v>0</v>
      </c>
      <c r="B12" s="934" t="s">
        <v>786</v>
      </c>
      <c r="C12" s="932">
        <f>E12+G12</f>
        <v>0</v>
      </c>
      <c r="D12" s="932">
        <f>F12+H12</f>
        <v>0</v>
      </c>
      <c r="E12" s="932"/>
      <c r="F12" s="932"/>
      <c r="G12" s="932"/>
      <c r="H12" s="932"/>
      <c r="I12" s="932"/>
      <c r="J12" s="932"/>
      <c r="K12" s="932"/>
      <c r="L12" s="932"/>
    </row>
    <row r="13" spans="1:12" s="931" customFormat="1" ht="16.5" customHeight="1">
      <c r="A13" s="935" t="s">
        <v>1</v>
      </c>
      <c r="B13" s="934" t="s">
        <v>19</v>
      </c>
      <c r="C13" s="932">
        <f>SUM(C14:C28)</f>
        <v>1</v>
      </c>
      <c r="D13" s="932">
        <f aca="true" t="shared" si="1" ref="D13:L13">SUM(D14:D28)</f>
        <v>12580000</v>
      </c>
      <c r="E13" s="932">
        <f t="shared" si="1"/>
        <v>0</v>
      </c>
      <c r="F13" s="932">
        <f t="shared" si="1"/>
        <v>0</v>
      </c>
      <c r="G13" s="932">
        <f t="shared" si="1"/>
        <v>1</v>
      </c>
      <c r="H13" s="932">
        <f t="shared" si="1"/>
        <v>12580000</v>
      </c>
      <c r="I13" s="932">
        <f t="shared" si="1"/>
        <v>0</v>
      </c>
      <c r="J13" s="932">
        <f t="shared" si="1"/>
        <v>0</v>
      </c>
      <c r="K13" s="932">
        <f t="shared" si="1"/>
        <v>1</v>
      </c>
      <c r="L13" s="932">
        <f t="shared" si="1"/>
        <v>12580000</v>
      </c>
    </row>
    <row r="14" spans="1:12" s="931" customFormat="1" ht="16.5" customHeight="1">
      <c r="A14" s="900">
        <v>1</v>
      </c>
      <c r="B14" s="913" t="s">
        <v>787</v>
      </c>
      <c r="C14" s="932">
        <v>1</v>
      </c>
      <c r="D14" s="932">
        <v>12580000</v>
      </c>
      <c r="E14" s="932"/>
      <c r="F14" s="932"/>
      <c r="G14" s="932">
        <v>1</v>
      </c>
      <c r="H14" s="932">
        <v>12580000</v>
      </c>
      <c r="I14" s="932"/>
      <c r="J14" s="932"/>
      <c r="K14" s="932">
        <v>1</v>
      </c>
      <c r="L14" s="932">
        <v>12580000</v>
      </c>
    </row>
    <row r="15" spans="1:12" s="931" customFormat="1" ht="17.25" customHeight="1">
      <c r="A15" s="900">
        <v>2</v>
      </c>
      <c r="B15" s="913" t="s">
        <v>788</v>
      </c>
      <c r="C15" s="932">
        <f aca="true" t="shared" si="2" ref="C15:D28">E15+G15</f>
        <v>0</v>
      </c>
      <c r="D15" s="932">
        <f t="shared" si="2"/>
        <v>0</v>
      </c>
      <c r="E15" s="932"/>
      <c r="F15" s="932"/>
      <c r="G15" s="932"/>
      <c r="H15" s="932"/>
      <c r="I15" s="932"/>
      <c r="J15" s="932"/>
      <c r="K15" s="932"/>
      <c r="L15" s="932"/>
    </row>
    <row r="16" spans="1:12" s="931" customFormat="1" ht="16.5" customHeight="1">
      <c r="A16" s="900">
        <v>3</v>
      </c>
      <c r="B16" s="913" t="s">
        <v>789</v>
      </c>
      <c r="C16" s="932">
        <f t="shared" si="2"/>
        <v>0</v>
      </c>
      <c r="D16" s="932">
        <f t="shared" si="2"/>
        <v>0</v>
      </c>
      <c r="E16" s="932"/>
      <c r="F16" s="932"/>
      <c r="G16" s="932"/>
      <c r="H16" s="932"/>
      <c r="I16" s="932"/>
      <c r="J16" s="932"/>
      <c r="K16" s="932"/>
      <c r="L16" s="932"/>
    </row>
    <row r="17" spans="1:12" s="931" customFormat="1" ht="16.5" customHeight="1">
      <c r="A17" s="900">
        <v>4</v>
      </c>
      <c r="B17" s="913" t="s">
        <v>790</v>
      </c>
      <c r="C17" s="932">
        <f t="shared" si="2"/>
        <v>0</v>
      </c>
      <c r="D17" s="932">
        <f t="shared" si="2"/>
        <v>0</v>
      </c>
      <c r="E17" s="932"/>
      <c r="F17" s="932"/>
      <c r="G17" s="932"/>
      <c r="H17" s="932"/>
      <c r="I17" s="932"/>
      <c r="J17" s="932"/>
      <c r="K17" s="932"/>
      <c r="L17" s="932"/>
    </row>
    <row r="18" spans="1:12" s="931" customFormat="1" ht="16.5" customHeight="1">
      <c r="A18" s="900">
        <v>5</v>
      </c>
      <c r="B18" s="913" t="s">
        <v>791</v>
      </c>
      <c r="C18" s="932">
        <f t="shared" si="2"/>
        <v>0</v>
      </c>
      <c r="D18" s="932">
        <f t="shared" si="2"/>
        <v>0</v>
      </c>
      <c r="E18" s="932"/>
      <c r="F18" s="932"/>
      <c r="G18" s="932"/>
      <c r="H18" s="932"/>
      <c r="I18" s="932"/>
      <c r="J18" s="932"/>
      <c r="K18" s="932"/>
      <c r="L18" s="932"/>
    </row>
    <row r="19" spans="1:12" s="936" customFormat="1" ht="16.5" customHeight="1">
      <c r="A19" s="900">
        <v>6</v>
      </c>
      <c r="B19" s="913" t="s">
        <v>792</v>
      </c>
      <c r="C19" s="932">
        <f t="shared" si="2"/>
        <v>0</v>
      </c>
      <c r="D19" s="932">
        <f t="shared" si="2"/>
        <v>0</v>
      </c>
      <c r="E19" s="932"/>
      <c r="F19" s="932"/>
      <c r="G19" s="932"/>
      <c r="H19" s="932"/>
      <c r="I19" s="932"/>
      <c r="J19" s="932"/>
      <c r="K19" s="932"/>
      <c r="L19" s="932"/>
    </row>
    <row r="20" spans="1:12" s="936" customFormat="1" ht="16.5" customHeight="1">
      <c r="A20" s="900">
        <v>7</v>
      </c>
      <c r="B20" s="913" t="s">
        <v>793</v>
      </c>
      <c r="C20" s="932">
        <f t="shared" si="2"/>
        <v>0</v>
      </c>
      <c r="D20" s="932">
        <f t="shared" si="2"/>
        <v>0</v>
      </c>
      <c r="E20" s="932"/>
      <c r="F20" s="932"/>
      <c r="G20" s="932"/>
      <c r="H20" s="932"/>
      <c r="I20" s="932"/>
      <c r="J20" s="932"/>
      <c r="K20" s="932"/>
      <c r="L20" s="932"/>
    </row>
    <row r="21" spans="1:12" s="936" customFormat="1" ht="16.5" customHeight="1">
      <c r="A21" s="900">
        <v>8</v>
      </c>
      <c r="B21" s="913" t="s">
        <v>794</v>
      </c>
      <c r="C21" s="932">
        <f t="shared" si="2"/>
        <v>0</v>
      </c>
      <c r="D21" s="932">
        <f t="shared" si="2"/>
        <v>0</v>
      </c>
      <c r="E21" s="932"/>
      <c r="F21" s="932"/>
      <c r="G21" s="932"/>
      <c r="H21" s="932"/>
      <c r="I21" s="932"/>
      <c r="J21" s="932"/>
      <c r="K21" s="932"/>
      <c r="L21" s="932"/>
    </row>
    <row r="22" spans="1:12" s="936" customFormat="1" ht="16.5" customHeight="1">
      <c r="A22" s="900">
        <v>9</v>
      </c>
      <c r="B22" s="913" t="s">
        <v>795</v>
      </c>
      <c r="C22" s="932">
        <f t="shared" si="2"/>
        <v>0</v>
      </c>
      <c r="D22" s="932">
        <f t="shared" si="2"/>
        <v>0</v>
      </c>
      <c r="E22" s="932"/>
      <c r="F22" s="932"/>
      <c r="G22" s="932"/>
      <c r="H22" s="932"/>
      <c r="I22" s="932"/>
      <c r="J22" s="932"/>
      <c r="K22" s="932"/>
      <c r="L22" s="932"/>
    </row>
    <row r="23" spans="1:12" s="936" customFormat="1" ht="16.5" customHeight="1">
      <c r="A23" s="900">
        <v>10</v>
      </c>
      <c r="B23" s="913" t="s">
        <v>796</v>
      </c>
      <c r="C23" s="932">
        <f t="shared" si="2"/>
        <v>0</v>
      </c>
      <c r="D23" s="932">
        <f t="shared" si="2"/>
        <v>0</v>
      </c>
      <c r="E23" s="932"/>
      <c r="F23" s="932"/>
      <c r="G23" s="932"/>
      <c r="H23" s="932"/>
      <c r="I23" s="932"/>
      <c r="J23" s="932"/>
      <c r="K23" s="932"/>
      <c r="L23" s="932"/>
    </row>
    <row r="24" spans="1:12" s="936" customFormat="1" ht="16.5" customHeight="1">
      <c r="A24" s="900">
        <v>11</v>
      </c>
      <c r="B24" s="913" t="s">
        <v>797</v>
      </c>
      <c r="C24" s="932">
        <f t="shared" si="2"/>
        <v>0</v>
      </c>
      <c r="D24" s="932">
        <f t="shared" si="2"/>
        <v>0</v>
      </c>
      <c r="E24" s="932"/>
      <c r="F24" s="932"/>
      <c r="G24" s="932"/>
      <c r="H24" s="932"/>
      <c r="I24" s="932"/>
      <c r="J24" s="932"/>
      <c r="K24" s="932"/>
      <c r="L24" s="932"/>
    </row>
    <row r="25" spans="1:12" s="936" customFormat="1" ht="16.5" customHeight="1">
      <c r="A25" s="900">
        <v>12</v>
      </c>
      <c r="B25" s="913" t="s">
        <v>798</v>
      </c>
      <c r="C25" s="932">
        <f t="shared" si="2"/>
        <v>0</v>
      </c>
      <c r="D25" s="932">
        <f t="shared" si="2"/>
        <v>0</v>
      </c>
      <c r="E25" s="932"/>
      <c r="F25" s="932"/>
      <c r="G25" s="932"/>
      <c r="H25" s="932"/>
      <c r="I25" s="932"/>
      <c r="J25" s="932"/>
      <c r="K25" s="932"/>
      <c r="L25" s="932"/>
    </row>
    <row r="26" spans="1:12" s="936" customFormat="1" ht="16.5" customHeight="1">
      <c r="A26" s="900">
        <v>13</v>
      </c>
      <c r="B26" s="913" t="s">
        <v>799</v>
      </c>
      <c r="C26" s="932">
        <f t="shared" si="2"/>
        <v>0</v>
      </c>
      <c r="D26" s="932">
        <f t="shared" si="2"/>
        <v>0</v>
      </c>
      <c r="E26" s="932"/>
      <c r="F26" s="932"/>
      <c r="G26" s="932"/>
      <c r="H26" s="932"/>
      <c r="I26" s="932"/>
      <c r="J26" s="932"/>
      <c r="K26" s="932"/>
      <c r="L26" s="932"/>
    </row>
    <row r="27" spans="1:12" s="936" customFormat="1" ht="16.5" customHeight="1">
      <c r="A27" s="900">
        <v>14</v>
      </c>
      <c r="B27" s="913" t="s">
        <v>800</v>
      </c>
      <c r="C27" s="932">
        <f t="shared" si="2"/>
        <v>0</v>
      </c>
      <c r="D27" s="932">
        <f t="shared" si="2"/>
        <v>0</v>
      </c>
      <c r="E27" s="932"/>
      <c r="F27" s="932"/>
      <c r="G27" s="932"/>
      <c r="H27" s="932"/>
      <c r="I27" s="932"/>
      <c r="J27" s="932"/>
      <c r="K27" s="932"/>
      <c r="L27" s="932"/>
    </row>
    <row r="28" spans="1:12" s="936" customFormat="1" ht="16.5" customHeight="1">
      <c r="A28" s="900">
        <v>15</v>
      </c>
      <c r="B28" s="913" t="s">
        <v>801</v>
      </c>
      <c r="C28" s="932">
        <f t="shared" si="2"/>
        <v>0</v>
      </c>
      <c r="D28" s="932">
        <f t="shared" si="2"/>
        <v>0</v>
      </c>
      <c r="E28" s="932"/>
      <c r="F28" s="932"/>
      <c r="G28" s="932"/>
      <c r="H28" s="932"/>
      <c r="I28" s="932"/>
      <c r="J28" s="932"/>
      <c r="K28" s="932"/>
      <c r="L28" s="932"/>
    </row>
    <row r="29" spans="1:12" s="940" customFormat="1" ht="18" customHeight="1">
      <c r="A29" s="937"/>
      <c r="B29" s="1699"/>
      <c r="C29" s="1699"/>
      <c r="D29" s="1699"/>
      <c r="E29" s="938"/>
      <c r="F29" s="939"/>
      <c r="G29" s="939"/>
      <c r="H29" s="1805" t="str">
        <f>'Thong tin'!B8</f>
        <v>Hải Phòng, ngày 03 tháng 8 năm 2017</v>
      </c>
      <c r="I29" s="1805"/>
      <c r="J29" s="1805"/>
      <c r="K29" s="1805"/>
      <c r="L29" s="1805"/>
    </row>
    <row r="30" spans="1:12" s="940" customFormat="1" ht="19.5" customHeight="1">
      <c r="A30" s="937"/>
      <c r="B30" s="1701" t="s">
        <v>333</v>
      </c>
      <c r="C30" s="1701"/>
      <c r="D30" s="1701"/>
      <c r="E30" s="938"/>
      <c r="F30" s="941"/>
      <c r="G30" s="941"/>
      <c r="H30" s="1702" t="str">
        <f>'Thong tin'!B7</f>
        <v>
PHÓ CỤC TRƯỞNG</v>
      </c>
      <c r="I30" s="1702"/>
      <c r="J30" s="1702"/>
      <c r="K30" s="1702"/>
      <c r="L30" s="1702"/>
    </row>
    <row r="31" spans="1:12" s="940" customFormat="1" ht="15" customHeight="1">
      <c r="A31" s="937"/>
      <c r="B31" s="1861"/>
      <c r="C31" s="1861"/>
      <c r="D31" s="1861"/>
      <c r="E31" s="938"/>
      <c r="F31" s="941"/>
      <c r="G31" s="941"/>
      <c r="H31" s="1702"/>
      <c r="I31" s="1702"/>
      <c r="J31" s="1702"/>
      <c r="K31" s="1702"/>
      <c r="L31" s="1702"/>
    </row>
    <row r="32" spans="1:12" s="940" customFormat="1" ht="15" customHeight="1">
      <c r="A32" s="937"/>
      <c r="B32" s="942"/>
      <c r="C32" s="942"/>
      <c r="D32" s="938"/>
      <c r="E32" s="938"/>
      <c r="F32" s="941"/>
      <c r="G32" s="941"/>
      <c r="H32" s="943"/>
      <c r="I32" s="943"/>
      <c r="J32" s="943"/>
      <c r="K32" s="943"/>
      <c r="L32" s="943"/>
    </row>
    <row r="33" spans="1:12" s="940" customFormat="1" ht="15" customHeight="1">
      <c r="A33" s="937"/>
      <c r="B33" s="942"/>
      <c r="C33" s="942"/>
      <c r="D33" s="938"/>
      <c r="E33" s="938"/>
      <c r="F33" s="941"/>
      <c r="G33" s="941"/>
      <c r="H33" s="943"/>
      <c r="I33" s="943"/>
      <c r="J33" s="943"/>
      <c r="K33" s="943"/>
      <c r="L33" s="943"/>
    </row>
    <row r="34" spans="2:12" ht="19.5">
      <c r="B34" s="1851"/>
      <c r="C34" s="1851"/>
      <c r="D34" s="1851"/>
      <c r="E34" s="945"/>
      <c r="F34" s="945"/>
      <c r="G34" s="945"/>
      <c r="H34" s="945"/>
      <c r="I34" s="945"/>
      <c r="J34" s="946"/>
      <c r="K34" s="945"/>
      <c r="L34" s="945"/>
    </row>
    <row r="35" spans="2:12" ht="18.75">
      <c r="B35" s="945"/>
      <c r="C35" s="945"/>
      <c r="D35" s="945"/>
      <c r="E35" s="945"/>
      <c r="F35" s="945"/>
      <c r="G35" s="945"/>
      <c r="H35" s="945"/>
      <c r="I35" s="945"/>
      <c r="J35" s="945"/>
      <c r="K35" s="945"/>
      <c r="L35" s="945"/>
    </row>
    <row r="36" spans="2:12" ht="18.75">
      <c r="B36" s="1627" t="str">
        <f>'Thong tin'!B5</f>
        <v>Trần Thị Minh</v>
      </c>
      <c r="C36" s="1627"/>
      <c r="D36" s="1627"/>
      <c r="E36" s="947"/>
      <c r="F36" s="947"/>
      <c r="G36" s="948"/>
      <c r="H36" s="1627" t="str">
        <f>'Thong tin'!B6</f>
        <v>Nguyễn Thị Mai Hoa</v>
      </c>
      <c r="I36" s="1627"/>
      <c r="J36" s="1627"/>
      <c r="K36" s="1627"/>
      <c r="L36" s="1627"/>
    </row>
    <row r="37" spans="1:12" s="951" customFormat="1" ht="18.75" hidden="1">
      <c r="A37" s="949" t="s">
        <v>47</v>
      </c>
      <c r="B37" s="950"/>
      <c r="C37" s="950"/>
      <c r="D37" s="950"/>
      <c r="E37" s="950"/>
      <c r="F37" s="950"/>
      <c r="G37" s="950"/>
      <c r="H37" s="950"/>
      <c r="I37" s="950"/>
      <c r="J37" s="950"/>
      <c r="K37" s="950"/>
      <c r="L37" s="950"/>
    </row>
    <row r="38" spans="1:12" s="951" customFormat="1" ht="15" customHeight="1" hidden="1">
      <c r="A38" s="952"/>
      <c r="B38" s="1852" t="s">
        <v>334</v>
      </c>
      <c r="C38" s="1852"/>
      <c r="D38" s="1852"/>
      <c r="E38" s="1852"/>
      <c r="F38" s="1852"/>
      <c r="G38" s="1852"/>
      <c r="H38" s="1852"/>
      <c r="I38" s="1852"/>
      <c r="J38" s="1852"/>
      <c r="K38" s="953"/>
      <c r="L38" s="954"/>
    </row>
    <row r="39" spans="2:12" s="951" customFormat="1" ht="18.75" hidden="1">
      <c r="B39" s="955" t="s">
        <v>335</v>
      </c>
      <c r="C39" s="950"/>
      <c r="D39" s="950"/>
      <c r="E39" s="950"/>
      <c r="F39" s="950"/>
      <c r="G39" s="950"/>
      <c r="H39" s="950"/>
      <c r="I39" s="950"/>
      <c r="J39" s="950"/>
      <c r="K39" s="950"/>
      <c r="L39" s="950"/>
    </row>
    <row r="40" spans="2:12" ht="18.75" hidden="1">
      <c r="B40" s="955" t="s">
        <v>336</v>
      </c>
      <c r="C40" s="945"/>
      <c r="D40" s="945"/>
      <c r="E40" s="945"/>
      <c r="F40" s="945"/>
      <c r="G40" s="945"/>
      <c r="H40" s="945"/>
      <c r="I40" s="945"/>
      <c r="J40" s="945"/>
      <c r="K40" s="945"/>
      <c r="L40" s="945"/>
    </row>
    <row r="41" spans="2:12" ht="18.75" hidden="1">
      <c r="B41" s="945"/>
      <c r="C41" s="945"/>
      <c r="D41" s="945"/>
      <c r="E41" s="945"/>
      <c r="F41" s="945"/>
      <c r="G41" s="945"/>
      <c r="H41" s="945"/>
      <c r="I41" s="945"/>
      <c r="J41" s="945"/>
      <c r="K41" s="945"/>
      <c r="L41" s="945"/>
    </row>
    <row r="42" ht="15.75">
      <c r="A42" s="918"/>
    </row>
    <row r="43" spans="2:12" ht="18.75">
      <c r="B43" s="956"/>
      <c r="C43" s="956"/>
      <c r="D43" s="956"/>
      <c r="E43" s="956"/>
      <c r="F43" s="956"/>
      <c r="G43" s="956"/>
      <c r="H43" s="956"/>
      <c r="I43" s="956"/>
      <c r="J43" s="956"/>
      <c r="K43" s="956"/>
      <c r="L43" s="956"/>
    </row>
  </sheetData>
  <sheetProtection/>
  <mergeCells count="27">
    <mergeCell ref="B36:D36"/>
    <mergeCell ref="H36:L36"/>
    <mergeCell ref="B29:D29"/>
    <mergeCell ref="H29:L29"/>
    <mergeCell ref="B30:D30"/>
    <mergeCell ref="H30:L30"/>
    <mergeCell ref="B31:D31"/>
    <mergeCell ref="H31:L31"/>
    <mergeCell ref="A10:B10"/>
    <mergeCell ref="D4:I4"/>
    <mergeCell ref="B34:D34"/>
    <mergeCell ref="B38:J38"/>
    <mergeCell ref="J4:L4"/>
    <mergeCell ref="A6:B9"/>
    <mergeCell ref="C6:H6"/>
    <mergeCell ref="I6:L6"/>
    <mergeCell ref="A11:B11"/>
    <mergeCell ref="C7:D8"/>
    <mergeCell ref="D1:I1"/>
    <mergeCell ref="D2:I2"/>
    <mergeCell ref="J2:L2"/>
    <mergeCell ref="D3:I3"/>
    <mergeCell ref="E7:H7"/>
    <mergeCell ref="I7:J8"/>
    <mergeCell ref="K7:L8"/>
    <mergeCell ref="E8:F8"/>
    <mergeCell ref="G8:H8"/>
  </mergeCells>
  <printOptions horizontalCentered="1"/>
  <pageMargins left="0.42" right="0.32" top="0.22" bottom="0.25" header="0.11" footer="0.31"/>
  <pageSetup horizontalDpi="600" verticalDpi="600" orientation="landscape" paperSize="9" scale="95" r:id="rId1"/>
</worksheet>
</file>

<file path=xl/worksheets/sheet35.xml><?xml version="1.0" encoding="utf-8"?>
<worksheet xmlns="http://schemas.openxmlformats.org/spreadsheetml/2006/main" xmlns:r="http://schemas.openxmlformats.org/officeDocument/2006/relationships">
  <sheetPr>
    <tabColor indexed="14"/>
  </sheetPr>
  <dimension ref="A1:J35"/>
  <sheetViews>
    <sheetView tabSelected="1" view="pageBreakPreview" zoomScaleSheetLayoutView="100" zoomScalePageLayoutView="0" workbookViewId="0" topLeftCell="A21">
      <selection activeCell="A12" sqref="A12:IV28"/>
    </sheetView>
  </sheetViews>
  <sheetFormatPr defaultColWidth="9.00390625" defaultRowHeight="15.75"/>
  <cols>
    <col min="1" max="1" width="4.25390625" style="575" customWidth="1"/>
    <col min="2" max="2" width="27.875" style="575" customWidth="1"/>
    <col min="3" max="3" width="12.25390625" style="575" customWidth="1"/>
    <col min="4" max="5" width="11.00390625" style="575" customWidth="1"/>
    <col min="6" max="6" width="12.75390625" style="575" customWidth="1"/>
    <col min="7" max="7" width="11.50390625" style="575" customWidth="1"/>
    <col min="8" max="8" width="11.00390625" style="575" customWidth="1"/>
    <col min="9" max="9" width="11.875" style="575" customWidth="1"/>
    <col min="10" max="10" width="13.875" style="575" customWidth="1"/>
    <col min="11" max="16384" width="9.00390625" style="575" customWidth="1"/>
  </cols>
  <sheetData>
    <row r="1" spans="1:10" ht="16.5" customHeight="1">
      <c r="A1" s="1863" t="s">
        <v>638</v>
      </c>
      <c r="B1" s="1863"/>
      <c r="C1" s="1869" t="s">
        <v>639</v>
      </c>
      <c r="D1" s="1869"/>
      <c r="E1" s="1869"/>
      <c r="F1" s="1869"/>
      <c r="G1" s="1869"/>
      <c r="H1" s="1869"/>
      <c r="I1" s="1864" t="s">
        <v>671</v>
      </c>
      <c r="J1" s="1865"/>
    </row>
    <row r="2" spans="1:10" ht="15" customHeight="1">
      <c r="A2" s="627" t="s">
        <v>344</v>
      </c>
      <c r="B2" s="628"/>
      <c r="C2" s="1869"/>
      <c r="D2" s="1869"/>
      <c r="E2" s="1869"/>
      <c r="F2" s="1869"/>
      <c r="G2" s="1869"/>
      <c r="H2" s="1869"/>
      <c r="I2" s="607" t="str">
        <f>'Thong tin'!B4</f>
        <v>CTHADS Hải Phòng</v>
      </c>
      <c r="J2" s="607"/>
    </row>
    <row r="3" spans="1:10" ht="15" customHeight="1">
      <c r="A3" s="627" t="s">
        <v>345</v>
      </c>
      <c r="B3" s="627"/>
      <c r="C3" s="1866" t="str">
        <f>'Thong tin'!B3</f>
        <v>10 tháng / năm 2017</v>
      </c>
      <c r="D3" s="1867"/>
      <c r="E3" s="1867"/>
      <c r="F3" s="1867"/>
      <c r="G3" s="1867"/>
      <c r="H3" s="1867"/>
      <c r="I3" s="1868" t="s">
        <v>640</v>
      </c>
      <c r="J3" s="1868"/>
    </row>
    <row r="4" spans="1:9" ht="15" customHeight="1">
      <c r="A4" s="1862" t="s">
        <v>679</v>
      </c>
      <c r="B4" s="1862"/>
      <c r="C4" s="1870"/>
      <c r="D4" s="1870"/>
      <c r="E4" s="1870"/>
      <c r="F4" s="1870"/>
      <c r="G4" s="1870"/>
      <c r="H4" s="1870"/>
      <c r="I4" s="607" t="s">
        <v>412</v>
      </c>
    </row>
    <row r="5" spans="1:10" ht="15" customHeight="1" thickBot="1">
      <c r="A5" s="1871"/>
      <c r="B5" s="1871"/>
      <c r="C5" s="608"/>
      <c r="D5" s="608"/>
      <c r="E5" s="608"/>
      <c r="F5" s="608"/>
      <c r="G5" s="608"/>
      <c r="H5" s="609"/>
      <c r="I5" s="1872" t="s">
        <v>641</v>
      </c>
      <c r="J5" s="1872"/>
    </row>
    <row r="6" spans="1:10" ht="15.75" customHeight="1" thickTop="1">
      <c r="A6" s="1873" t="s">
        <v>72</v>
      </c>
      <c r="B6" s="1874"/>
      <c r="C6" s="1877" t="s">
        <v>642</v>
      </c>
      <c r="D6" s="1877"/>
      <c r="E6" s="1877"/>
      <c r="F6" s="1877" t="s">
        <v>643</v>
      </c>
      <c r="G6" s="1877"/>
      <c r="H6" s="1877"/>
      <c r="I6" s="1877"/>
      <c r="J6" s="1878" t="s">
        <v>644</v>
      </c>
    </row>
    <row r="7" spans="1:10" ht="15.75" customHeight="1">
      <c r="A7" s="1875"/>
      <c r="B7" s="1876"/>
      <c r="C7" s="1880" t="s">
        <v>227</v>
      </c>
      <c r="D7" s="1880" t="s">
        <v>7</v>
      </c>
      <c r="E7" s="1880"/>
      <c r="F7" s="1880" t="s">
        <v>645</v>
      </c>
      <c r="G7" s="1880"/>
      <c r="H7" s="1880"/>
      <c r="I7" s="1880" t="s">
        <v>646</v>
      </c>
      <c r="J7" s="1879"/>
    </row>
    <row r="8" spans="1:10" ht="15.75" customHeight="1">
      <c r="A8" s="1875"/>
      <c r="B8" s="1876"/>
      <c r="C8" s="1880"/>
      <c r="D8" s="1880" t="s">
        <v>647</v>
      </c>
      <c r="E8" s="1880" t="s">
        <v>648</v>
      </c>
      <c r="F8" s="1880" t="s">
        <v>37</v>
      </c>
      <c r="G8" s="1880" t="s">
        <v>7</v>
      </c>
      <c r="H8" s="1880"/>
      <c r="I8" s="1880"/>
      <c r="J8" s="1879"/>
    </row>
    <row r="9" spans="1:10" ht="52.5" customHeight="1">
      <c r="A9" s="1875"/>
      <c r="B9" s="1876"/>
      <c r="C9" s="1880"/>
      <c r="D9" s="1881"/>
      <c r="E9" s="1880"/>
      <c r="F9" s="1880"/>
      <c r="G9" s="610" t="s">
        <v>649</v>
      </c>
      <c r="H9" s="610" t="s">
        <v>650</v>
      </c>
      <c r="I9" s="1880"/>
      <c r="J9" s="1879"/>
    </row>
    <row r="10" spans="1:10" ht="15.75" customHeight="1">
      <c r="A10" s="1882" t="s">
        <v>651</v>
      </c>
      <c r="B10" s="1883"/>
      <c r="C10" s="611">
        <v>1</v>
      </c>
      <c r="D10" s="611">
        <v>2</v>
      </c>
      <c r="E10" s="611">
        <v>3</v>
      </c>
      <c r="F10" s="611">
        <v>4</v>
      </c>
      <c r="G10" s="611">
        <v>5</v>
      </c>
      <c r="H10" s="611">
        <v>6</v>
      </c>
      <c r="I10" s="611">
        <v>7</v>
      </c>
      <c r="J10" s="612">
        <v>8</v>
      </c>
    </row>
    <row r="11" spans="1:10" s="578" customFormat="1" ht="15.75" customHeight="1">
      <c r="A11" s="1884" t="s">
        <v>652</v>
      </c>
      <c r="B11" s="1885"/>
      <c r="C11" s="705">
        <f>C12+C13</f>
        <v>6</v>
      </c>
      <c r="D11" s="705">
        <f aca="true" t="shared" si="0" ref="D11:J11">D12+D13</f>
        <v>4</v>
      </c>
      <c r="E11" s="705">
        <f t="shared" si="0"/>
        <v>2</v>
      </c>
      <c r="F11" s="705">
        <f t="shared" si="0"/>
        <v>6</v>
      </c>
      <c r="G11" s="705">
        <f t="shared" si="0"/>
        <v>1</v>
      </c>
      <c r="H11" s="705">
        <f t="shared" si="0"/>
        <v>5</v>
      </c>
      <c r="I11" s="705">
        <f t="shared" si="0"/>
        <v>0</v>
      </c>
      <c r="J11" s="705">
        <f t="shared" si="0"/>
        <v>0</v>
      </c>
    </row>
    <row r="12" spans="1:10" s="911" customFormat="1" ht="15.75" customHeight="1">
      <c r="A12" s="908" t="s">
        <v>0</v>
      </c>
      <c r="B12" s="909" t="s">
        <v>786</v>
      </c>
      <c r="C12" s="910">
        <f>D12+E12</f>
        <v>0</v>
      </c>
      <c r="D12" s="910"/>
      <c r="E12" s="910"/>
      <c r="F12" s="910">
        <f>G12+H12</f>
        <v>0</v>
      </c>
      <c r="G12" s="910"/>
      <c r="H12" s="910"/>
      <c r="I12" s="910"/>
      <c r="J12" s="910"/>
    </row>
    <row r="13" spans="1:10" s="911" customFormat="1" ht="15.75" customHeight="1">
      <c r="A13" s="912" t="s">
        <v>1</v>
      </c>
      <c r="B13" s="909" t="s">
        <v>19</v>
      </c>
      <c r="C13" s="910">
        <f>SUM(C14:C28)</f>
        <v>6</v>
      </c>
      <c r="D13" s="910">
        <f aca="true" t="shared" si="1" ref="D13:J13">SUM(D14:D28)</f>
        <v>4</v>
      </c>
      <c r="E13" s="910">
        <f t="shared" si="1"/>
        <v>2</v>
      </c>
      <c r="F13" s="910">
        <f t="shared" si="1"/>
        <v>6</v>
      </c>
      <c r="G13" s="910">
        <f t="shared" si="1"/>
        <v>1</v>
      </c>
      <c r="H13" s="910">
        <f t="shared" si="1"/>
        <v>5</v>
      </c>
      <c r="I13" s="910">
        <f t="shared" si="1"/>
        <v>0</v>
      </c>
      <c r="J13" s="910">
        <f t="shared" si="1"/>
        <v>0</v>
      </c>
    </row>
    <row r="14" spans="1:10" s="911" customFormat="1" ht="15.75" customHeight="1">
      <c r="A14" s="900">
        <v>1</v>
      </c>
      <c r="B14" s="913" t="s">
        <v>787</v>
      </c>
      <c r="C14" s="910">
        <f aca="true" t="shared" si="2" ref="C14:C28">D14+E14</f>
        <v>0</v>
      </c>
      <c r="D14" s="910"/>
      <c r="E14" s="910"/>
      <c r="F14" s="910">
        <f aca="true" t="shared" si="3" ref="F14:F28">G14+H14</f>
        <v>0</v>
      </c>
      <c r="G14" s="910"/>
      <c r="H14" s="910"/>
      <c r="I14" s="910"/>
      <c r="J14" s="910"/>
    </row>
    <row r="15" spans="1:10" s="911" customFormat="1" ht="15.75" customHeight="1">
      <c r="A15" s="900">
        <v>2</v>
      </c>
      <c r="B15" s="913" t="s">
        <v>788</v>
      </c>
      <c r="C15" s="910">
        <f t="shared" si="2"/>
        <v>0</v>
      </c>
      <c r="D15" s="910"/>
      <c r="E15" s="910"/>
      <c r="F15" s="910">
        <f t="shared" si="3"/>
        <v>0</v>
      </c>
      <c r="G15" s="910"/>
      <c r="H15" s="910"/>
      <c r="I15" s="910"/>
      <c r="J15" s="910"/>
    </row>
    <row r="16" spans="1:10" s="911" customFormat="1" ht="15.75" customHeight="1">
      <c r="A16" s="900">
        <v>3</v>
      </c>
      <c r="B16" s="913" t="s">
        <v>789</v>
      </c>
      <c r="C16" s="910">
        <f t="shared" si="2"/>
        <v>0</v>
      </c>
      <c r="D16" s="910"/>
      <c r="E16" s="910"/>
      <c r="F16" s="910">
        <f t="shared" si="3"/>
        <v>0</v>
      </c>
      <c r="G16" s="910"/>
      <c r="H16" s="910"/>
      <c r="I16" s="910"/>
      <c r="J16" s="910"/>
    </row>
    <row r="17" spans="1:10" s="911" customFormat="1" ht="15.75" customHeight="1">
      <c r="A17" s="900">
        <v>4</v>
      </c>
      <c r="B17" s="913" t="s">
        <v>790</v>
      </c>
      <c r="C17" s="910">
        <f t="shared" si="2"/>
        <v>0</v>
      </c>
      <c r="D17" s="910"/>
      <c r="E17" s="910"/>
      <c r="F17" s="910">
        <f t="shared" si="3"/>
        <v>0</v>
      </c>
      <c r="G17" s="910"/>
      <c r="H17" s="910"/>
      <c r="I17" s="910"/>
      <c r="J17" s="910"/>
    </row>
    <row r="18" spans="1:10" s="911" customFormat="1" ht="15.75" customHeight="1">
      <c r="A18" s="900">
        <v>5</v>
      </c>
      <c r="B18" s="913" t="s">
        <v>791</v>
      </c>
      <c r="C18" s="910">
        <f t="shared" si="2"/>
        <v>0</v>
      </c>
      <c r="D18" s="910"/>
      <c r="E18" s="910"/>
      <c r="F18" s="910">
        <f t="shared" si="3"/>
        <v>0</v>
      </c>
      <c r="G18" s="910"/>
      <c r="H18" s="910"/>
      <c r="I18" s="910"/>
      <c r="J18" s="910"/>
    </row>
    <row r="19" spans="1:10" s="911" customFormat="1" ht="15.75" customHeight="1">
      <c r="A19" s="900">
        <v>6</v>
      </c>
      <c r="B19" s="913" t="s">
        <v>792</v>
      </c>
      <c r="C19" s="914">
        <v>3</v>
      </c>
      <c r="D19" s="914">
        <v>3</v>
      </c>
      <c r="E19" s="910"/>
      <c r="F19" s="910">
        <v>3</v>
      </c>
      <c r="G19" s="910"/>
      <c r="H19" s="910">
        <v>3</v>
      </c>
      <c r="I19" s="910"/>
      <c r="J19" s="910"/>
    </row>
    <row r="20" spans="1:10" s="911" customFormat="1" ht="15.75" customHeight="1">
      <c r="A20" s="900">
        <v>7</v>
      </c>
      <c r="B20" s="913" t="s">
        <v>793</v>
      </c>
      <c r="C20" s="910">
        <f t="shared" si="2"/>
        <v>2</v>
      </c>
      <c r="D20" s="910">
        <v>1</v>
      </c>
      <c r="E20" s="910">
        <v>1</v>
      </c>
      <c r="F20" s="910">
        <f t="shared" si="3"/>
        <v>2</v>
      </c>
      <c r="G20" s="910">
        <v>1</v>
      </c>
      <c r="H20" s="910">
        <v>1</v>
      </c>
      <c r="I20" s="910"/>
      <c r="J20" s="910"/>
    </row>
    <row r="21" spans="1:10" s="911" customFormat="1" ht="15.75" customHeight="1">
      <c r="A21" s="900">
        <v>8</v>
      </c>
      <c r="B21" s="913" t="s">
        <v>794</v>
      </c>
      <c r="C21" s="910">
        <f>D21+E21</f>
        <v>0</v>
      </c>
      <c r="D21" s="910"/>
      <c r="E21" s="910"/>
      <c r="F21" s="910">
        <f>G21+H21</f>
        <v>0</v>
      </c>
      <c r="G21" s="910"/>
      <c r="H21" s="910"/>
      <c r="I21" s="910"/>
      <c r="J21" s="910"/>
    </row>
    <row r="22" spans="1:10" s="911" customFormat="1" ht="15.75" customHeight="1">
      <c r="A22" s="900">
        <v>9</v>
      </c>
      <c r="B22" s="913" t="s">
        <v>795</v>
      </c>
      <c r="C22" s="910">
        <f t="shared" si="2"/>
        <v>0</v>
      </c>
      <c r="D22" s="910"/>
      <c r="E22" s="910"/>
      <c r="F22" s="910">
        <f t="shared" si="3"/>
        <v>0</v>
      </c>
      <c r="G22" s="910"/>
      <c r="H22" s="910"/>
      <c r="I22" s="910"/>
      <c r="J22" s="910"/>
    </row>
    <row r="23" spans="1:10" s="911" customFormat="1" ht="15.75" customHeight="1">
      <c r="A23" s="900">
        <v>10</v>
      </c>
      <c r="B23" s="913" t="s">
        <v>796</v>
      </c>
      <c r="C23" s="910">
        <f t="shared" si="2"/>
        <v>0</v>
      </c>
      <c r="D23" s="910"/>
      <c r="E23" s="910"/>
      <c r="F23" s="910">
        <f t="shared" si="3"/>
        <v>0</v>
      </c>
      <c r="G23" s="910"/>
      <c r="H23" s="910"/>
      <c r="I23" s="910"/>
      <c r="J23" s="910"/>
    </row>
    <row r="24" spans="1:10" s="911" customFormat="1" ht="15.75" customHeight="1">
      <c r="A24" s="900">
        <v>11</v>
      </c>
      <c r="B24" s="913" t="s">
        <v>797</v>
      </c>
      <c r="C24" s="910">
        <f t="shared" si="2"/>
        <v>0</v>
      </c>
      <c r="D24" s="910"/>
      <c r="E24" s="910"/>
      <c r="F24" s="910">
        <f t="shared" si="3"/>
        <v>0</v>
      </c>
      <c r="G24" s="910"/>
      <c r="H24" s="910"/>
      <c r="I24" s="910"/>
      <c r="J24" s="910"/>
    </row>
    <row r="25" spans="1:10" s="911" customFormat="1" ht="15.75" customHeight="1">
      <c r="A25" s="900">
        <v>12</v>
      </c>
      <c r="B25" s="913" t="s">
        <v>798</v>
      </c>
      <c r="C25" s="910">
        <f t="shared" si="2"/>
        <v>0</v>
      </c>
      <c r="D25" s="910"/>
      <c r="E25" s="910"/>
      <c r="F25" s="910">
        <f t="shared" si="3"/>
        <v>0</v>
      </c>
      <c r="G25" s="910"/>
      <c r="H25" s="910"/>
      <c r="I25" s="910"/>
      <c r="J25" s="910"/>
    </row>
    <row r="26" spans="1:10" s="911" customFormat="1" ht="15.75" customHeight="1">
      <c r="A26" s="900">
        <v>13</v>
      </c>
      <c r="B26" s="913" t="s">
        <v>799</v>
      </c>
      <c r="C26" s="910">
        <f t="shared" si="2"/>
        <v>0</v>
      </c>
      <c r="D26" s="910"/>
      <c r="E26" s="910"/>
      <c r="F26" s="910">
        <f t="shared" si="3"/>
        <v>0</v>
      </c>
      <c r="G26" s="910"/>
      <c r="H26" s="910"/>
      <c r="I26" s="910"/>
      <c r="J26" s="910"/>
    </row>
    <row r="27" spans="1:10" s="911" customFormat="1" ht="15.75" customHeight="1">
      <c r="A27" s="900">
        <v>14</v>
      </c>
      <c r="B27" s="913" t="s">
        <v>800</v>
      </c>
      <c r="C27" s="910">
        <f t="shared" si="2"/>
        <v>1</v>
      </c>
      <c r="D27" s="910"/>
      <c r="E27" s="910">
        <v>1</v>
      </c>
      <c r="F27" s="910">
        <f t="shared" si="3"/>
        <v>1</v>
      </c>
      <c r="G27" s="910"/>
      <c r="H27" s="910">
        <v>1</v>
      </c>
      <c r="I27" s="910"/>
      <c r="J27" s="910"/>
    </row>
    <row r="28" spans="1:10" s="911" customFormat="1" ht="15.75" customHeight="1">
      <c r="A28" s="900">
        <v>15</v>
      </c>
      <c r="B28" s="913" t="s">
        <v>801</v>
      </c>
      <c r="C28" s="910">
        <f t="shared" si="2"/>
        <v>0</v>
      </c>
      <c r="D28" s="910"/>
      <c r="E28" s="910"/>
      <c r="F28" s="910">
        <f t="shared" si="3"/>
        <v>0</v>
      </c>
      <c r="G28" s="910"/>
      <c r="H28" s="910"/>
      <c r="I28" s="910"/>
      <c r="J28" s="910"/>
    </row>
    <row r="29" spans="1:10" ht="18" customHeight="1">
      <c r="A29" s="579"/>
      <c r="B29" s="1798"/>
      <c r="C29" s="1798"/>
      <c r="D29" s="624"/>
      <c r="E29" s="624"/>
      <c r="F29" s="624"/>
      <c r="G29" s="1761" t="str">
        <f>'Thong tin'!B8</f>
        <v>Hải Phòng, ngày 03 tháng 8 năm 2017</v>
      </c>
      <c r="H29" s="1761"/>
      <c r="I29" s="1761"/>
      <c r="J29" s="1761"/>
    </row>
    <row r="30" spans="1:10" ht="18.75" customHeight="1">
      <c r="A30" s="579"/>
      <c r="B30" s="1801" t="s">
        <v>4</v>
      </c>
      <c r="C30" s="1801"/>
      <c r="D30" s="624"/>
      <c r="E30" s="624"/>
      <c r="F30" s="624"/>
      <c r="G30" s="1756" t="str">
        <f>'Thong tin'!B7</f>
        <v>
PHÓ CỤC TRƯỞNG</v>
      </c>
      <c r="H30" s="1756"/>
      <c r="I30" s="1756"/>
      <c r="J30" s="1756"/>
    </row>
    <row r="31" spans="1:10" ht="18.75" customHeight="1">
      <c r="A31" s="579"/>
      <c r="B31" s="581"/>
      <c r="C31" s="581"/>
      <c r="D31" s="624"/>
      <c r="E31" s="624"/>
      <c r="F31" s="624"/>
      <c r="G31" s="582"/>
      <c r="H31" s="582"/>
      <c r="I31" s="582"/>
      <c r="J31" s="582"/>
    </row>
    <row r="32" spans="1:10" ht="18.75" customHeight="1">
      <c r="A32" s="579"/>
      <c r="B32" s="581"/>
      <c r="C32" s="581"/>
      <c r="D32" s="624"/>
      <c r="E32" s="624"/>
      <c r="F32" s="624"/>
      <c r="G32" s="582"/>
      <c r="H32" s="582"/>
      <c r="I32" s="582"/>
      <c r="J32" s="582"/>
    </row>
    <row r="33" spans="1:10" ht="18.75" customHeight="1">
      <c r="A33" s="579"/>
      <c r="B33" s="581"/>
      <c r="C33" s="581"/>
      <c r="D33" s="624"/>
      <c r="E33" s="624"/>
      <c r="F33" s="624"/>
      <c r="G33" s="582"/>
      <c r="H33" s="582"/>
      <c r="I33" s="582"/>
      <c r="J33" s="582"/>
    </row>
    <row r="34" spans="2:10" ht="18.75">
      <c r="B34" s="1886"/>
      <c r="C34" s="1886"/>
      <c r="D34" s="618"/>
      <c r="E34" s="618"/>
      <c r="F34" s="618"/>
      <c r="G34" s="1756"/>
      <c r="H34" s="1756"/>
      <c r="I34" s="1756"/>
      <c r="J34" s="1756"/>
    </row>
    <row r="35" spans="2:10" ht="18.75">
      <c r="B35" s="1683" t="str">
        <f>'Thong tin'!B5</f>
        <v>Trần Thị Minh</v>
      </c>
      <c r="C35" s="1683"/>
      <c r="D35" s="623"/>
      <c r="E35" s="623"/>
      <c r="F35" s="623"/>
      <c r="G35" s="1683" t="str">
        <f>'Thong tin'!B6</f>
        <v>Nguyễn Thị Mai Hoa</v>
      </c>
      <c r="H35" s="1683"/>
      <c r="I35" s="1683"/>
      <c r="J35" s="1683"/>
    </row>
  </sheetData>
  <sheetProtection/>
  <mergeCells count="31">
    <mergeCell ref="B29:C29"/>
    <mergeCell ref="G29:J29"/>
    <mergeCell ref="B30:C30"/>
    <mergeCell ref="G30:J30"/>
    <mergeCell ref="B35:C35"/>
    <mergeCell ref="G35:J35"/>
    <mergeCell ref="B34:C34"/>
    <mergeCell ref="G34:J34"/>
    <mergeCell ref="D8:D9"/>
    <mergeCell ref="E8:E9"/>
    <mergeCell ref="F8:F9"/>
    <mergeCell ref="G8:H8"/>
    <mergeCell ref="A10:B10"/>
    <mergeCell ref="A11:B11"/>
    <mergeCell ref="A5:B5"/>
    <mergeCell ref="I5:J5"/>
    <mergeCell ref="A6:B9"/>
    <mergeCell ref="C6:E6"/>
    <mergeCell ref="F6:I6"/>
    <mergeCell ref="J6:J9"/>
    <mergeCell ref="C7:C9"/>
    <mergeCell ref="D7:E7"/>
    <mergeCell ref="F7:H7"/>
    <mergeCell ref="I7:I9"/>
    <mergeCell ref="A4:B4"/>
    <mergeCell ref="A1:B1"/>
    <mergeCell ref="I1:J1"/>
    <mergeCell ref="C3:H3"/>
    <mergeCell ref="I3:J3"/>
    <mergeCell ref="C1:H2"/>
    <mergeCell ref="C4:H4"/>
  </mergeCells>
  <printOptions horizontalCentered="1"/>
  <pageMargins left="0.5" right="0.42" top="0.22" bottom="0" header="0.16" footer="0.2"/>
  <pageSetup horizontalDpi="1200" verticalDpi="1200" orientation="landscape" paperSize="9" scale="95" r:id="rId1"/>
  <ignoredErrors>
    <ignoredError sqref="F13:F15" formula="1"/>
  </ignoredErrors>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42" customWidth="1"/>
    <col min="2" max="2" width="23.875" style="42" customWidth="1"/>
    <col min="3" max="3" width="13.875" style="42" customWidth="1"/>
    <col min="4" max="4" width="11.125" style="42" customWidth="1"/>
    <col min="5" max="5" width="10.125" style="42" customWidth="1"/>
    <col min="6" max="12" width="10.25390625" style="42" customWidth="1"/>
    <col min="13" max="13" width="14.25390625" style="42" customWidth="1"/>
    <col min="14" max="28" width="9.00390625" style="42" customWidth="1"/>
    <col min="29" max="29" width="8.375" style="42" customWidth="1"/>
    <col min="30" max="30" width="9.00390625" style="42" customWidth="1"/>
    <col min="31" max="31" width="11.25390625" style="42" customWidth="1"/>
    <col min="32" max="32" width="13.50390625" style="42" customWidth="1"/>
    <col min="33" max="16384" width="9.00390625" style="42" customWidth="1"/>
  </cols>
  <sheetData>
    <row r="1" spans="1:12" ht="22.5" customHeight="1">
      <c r="A1" s="1180" t="s">
        <v>117</v>
      </c>
      <c r="B1" s="1180"/>
      <c r="C1" s="1180"/>
      <c r="D1" s="1250" t="s">
        <v>464</v>
      </c>
      <c r="E1" s="1250"/>
      <c r="F1" s="1250"/>
      <c r="G1" s="1250"/>
      <c r="H1" s="1250"/>
      <c r="I1" s="1250"/>
      <c r="J1" s="1254" t="s">
        <v>465</v>
      </c>
      <c r="K1" s="1255"/>
      <c r="L1" s="1255"/>
    </row>
    <row r="2" spans="1:13" ht="15.75" customHeight="1">
      <c r="A2" s="1256" t="s">
        <v>410</v>
      </c>
      <c r="B2" s="1256"/>
      <c r="C2" s="1256"/>
      <c r="D2" s="1250"/>
      <c r="E2" s="1250"/>
      <c r="F2" s="1250"/>
      <c r="G2" s="1250"/>
      <c r="H2" s="1250"/>
      <c r="I2" s="1250"/>
      <c r="J2" s="1255" t="s">
        <v>411</v>
      </c>
      <c r="K2" s="1255"/>
      <c r="L2" s="1255"/>
      <c r="M2" s="142"/>
    </row>
    <row r="3" spans="1:13" ht="15.75" customHeight="1">
      <c r="A3" s="1189" t="s">
        <v>362</v>
      </c>
      <c r="B3" s="1189"/>
      <c r="C3" s="1189"/>
      <c r="D3" s="1250"/>
      <c r="E3" s="1250"/>
      <c r="F3" s="1250"/>
      <c r="G3" s="1250"/>
      <c r="H3" s="1250"/>
      <c r="I3" s="1250"/>
      <c r="J3" s="1254" t="s">
        <v>466</v>
      </c>
      <c r="K3" s="1254"/>
      <c r="L3" s="1254"/>
      <c r="M3" s="46"/>
    </row>
    <row r="4" spans="1:13" ht="15.75" customHeight="1">
      <c r="A4" s="1253" t="s">
        <v>364</v>
      </c>
      <c r="B4" s="1253"/>
      <c r="C4" s="1253"/>
      <c r="D4" s="1252"/>
      <c r="E4" s="1252"/>
      <c r="F4" s="1252"/>
      <c r="G4" s="1252"/>
      <c r="H4" s="1252"/>
      <c r="I4" s="1252"/>
      <c r="J4" s="1255" t="s">
        <v>412</v>
      </c>
      <c r="K4" s="1255"/>
      <c r="L4" s="1255"/>
      <c r="M4" s="142"/>
    </row>
    <row r="5" spans="1:13" ht="15.75">
      <c r="A5" s="143"/>
      <c r="B5" s="143"/>
      <c r="C5" s="43"/>
      <c r="D5" s="43"/>
      <c r="E5" s="43"/>
      <c r="F5" s="43"/>
      <c r="G5" s="43"/>
      <c r="H5" s="43"/>
      <c r="I5" s="43"/>
      <c r="J5" s="1251" t="s">
        <v>8</v>
      </c>
      <c r="K5" s="1251"/>
      <c r="L5" s="1251"/>
      <c r="M5" s="142"/>
    </row>
    <row r="6" spans="1:14" ht="15.75">
      <c r="A6" s="1259" t="s">
        <v>72</v>
      </c>
      <c r="B6" s="1260"/>
      <c r="C6" s="1209" t="s">
        <v>413</v>
      </c>
      <c r="D6" s="1249" t="s">
        <v>414</v>
      </c>
      <c r="E6" s="1249"/>
      <c r="F6" s="1249"/>
      <c r="G6" s="1249"/>
      <c r="H6" s="1249"/>
      <c r="I6" s="1249"/>
      <c r="J6" s="1193" t="s">
        <v>115</v>
      </c>
      <c r="K6" s="1193"/>
      <c r="L6" s="1193"/>
      <c r="M6" s="1247" t="s">
        <v>415</v>
      </c>
      <c r="N6" s="1248" t="s">
        <v>416</v>
      </c>
    </row>
    <row r="7" spans="1:14" ht="15.75" customHeight="1">
      <c r="A7" s="1261"/>
      <c r="B7" s="1262"/>
      <c r="C7" s="1209"/>
      <c r="D7" s="1249" t="s">
        <v>7</v>
      </c>
      <c r="E7" s="1249"/>
      <c r="F7" s="1249"/>
      <c r="G7" s="1249"/>
      <c r="H7" s="1249"/>
      <c r="I7" s="1249"/>
      <c r="J7" s="1193"/>
      <c r="K7" s="1193"/>
      <c r="L7" s="1193"/>
      <c r="M7" s="1247"/>
      <c r="N7" s="1248"/>
    </row>
    <row r="8" spans="1:14" s="82" customFormat="1" ht="31.5" customHeight="1">
      <c r="A8" s="1261"/>
      <c r="B8" s="1262"/>
      <c r="C8" s="1209"/>
      <c r="D8" s="1193" t="s">
        <v>113</v>
      </c>
      <c r="E8" s="1193" t="s">
        <v>114</v>
      </c>
      <c r="F8" s="1193"/>
      <c r="G8" s="1193"/>
      <c r="H8" s="1193"/>
      <c r="I8" s="1193"/>
      <c r="J8" s="1193"/>
      <c r="K8" s="1193"/>
      <c r="L8" s="1193"/>
      <c r="M8" s="1247"/>
      <c r="N8" s="1248"/>
    </row>
    <row r="9" spans="1:14" s="82" customFormat="1" ht="15.75" customHeight="1">
      <c r="A9" s="1261"/>
      <c r="B9" s="1262"/>
      <c r="C9" s="1209"/>
      <c r="D9" s="1193"/>
      <c r="E9" s="1193" t="s">
        <v>116</v>
      </c>
      <c r="F9" s="1193" t="s">
        <v>7</v>
      </c>
      <c r="G9" s="1193"/>
      <c r="H9" s="1193"/>
      <c r="I9" s="1193"/>
      <c r="J9" s="1193" t="s">
        <v>7</v>
      </c>
      <c r="K9" s="1193"/>
      <c r="L9" s="1193"/>
      <c r="M9" s="1247"/>
      <c r="N9" s="1248"/>
    </row>
    <row r="10" spans="1:14" s="82" customFormat="1" ht="86.25" customHeight="1">
      <c r="A10" s="1263"/>
      <c r="B10" s="1264"/>
      <c r="C10" s="1209"/>
      <c r="D10" s="1193"/>
      <c r="E10" s="1193"/>
      <c r="F10" s="113" t="s">
        <v>24</v>
      </c>
      <c r="G10" s="113" t="s">
        <v>26</v>
      </c>
      <c r="H10" s="113" t="s">
        <v>18</v>
      </c>
      <c r="I10" s="113" t="s">
        <v>25</v>
      </c>
      <c r="J10" s="113" t="s">
        <v>17</v>
      </c>
      <c r="K10" s="113" t="s">
        <v>22</v>
      </c>
      <c r="L10" s="113" t="s">
        <v>23</v>
      </c>
      <c r="M10" s="1247"/>
      <c r="N10" s="1248"/>
    </row>
    <row r="11" spans="1:32" ht="13.5" customHeight="1">
      <c r="A11" s="1273" t="s">
        <v>5</v>
      </c>
      <c r="B11" s="1274"/>
      <c r="C11" s="144">
        <v>1</v>
      </c>
      <c r="D11" s="144" t="s">
        <v>53</v>
      </c>
      <c r="E11" s="144" t="s">
        <v>58</v>
      </c>
      <c r="F11" s="144" t="s">
        <v>73</v>
      </c>
      <c r="G11" s="144" t="s">
        <v>74</v>
      </c>
      <c r="H11" s="144" t="s">
        <v>75</v>
      </c>
      <c r="I11" s="144" t="s">
        <v>76</v>
      </c>
      <c r="J11" s="144" t="s">
        <v>77</v>
      </c>
      <c r="K11" s="144" t="s">
        <v>78</v>
      </c>
      <c r="L11" s="144" t="s">
        <v>101</v>
      </c>
      <c r="M11" s="145"/>
      <c r="N11" s="146"/>
      <c r="AF11" s="42" t="s">
        <v>376</v>
      </c>
    </row>
    <row r="12" spans="1:14" ht="24" customHeight="1">
      <c r="A12" s="1267" t="s">
        <v>407</v>
      </c>
      <c r="B12" s="1268"/>
      <c r="C12" s="147">
        <f aca="true" t="shared" si="0" ref="C12:L12">C14-C13</f>
        <v>-25</v>
      </c>
      <c r="D12" s="147">
        <f t="shared" si="0"/>
        <v>-26</v>
      </c>
      <c r="E12" s="147">
        <f t="shared" si="0"/>
        <v>17</v>
      </c>
      <c r="F12" s="147">
        <f t="shared" si="0"/>
        <v>1</v>
      </c>
      <c r="G12" s="147">
        <f t="shared" si="0"/>
        <v>3</v>
      </c>
      <c r="H12" s="147">
        <f t="shared" si="0"/>
        <v>-1</v>
      </c>
      <c r="I12" s="147">
        <f t="shared" si="0"/>
        <v>-2</v>
      </c>
      <c r="J12" s="147">
        <f t="shared" si="0"/>
        <v>-9</v>
      </c>
      <c r="K12" s="147">
        <f t="shared" si="0"/>
        <v>-13</v>
      </c>
      <c r="L12" s="147">
        <f t="shared" si="0"/>
        <v>-3</v>
      </c>
      <c r="M12" s="145"/>
      <c r="N12" s="146"/>
    </row>
    <row r="13" spans="1:14" ht="23.25" customHeight="1">
      <c r="A13" s="1265" t="s">
        <v>363</v>
      </c>
      <c r="B13" s="1266"/>
      <c r="C13" s="148">
        <v>59</v>
      </c>
      <c r="D13" s="148">
        <v>43</v>
      </c>
      <c r="E13" s="148">
        <v>0</v>
      </c>
      <c r="F13" s="148">
        <v>5</v>
      </c>
      <c r="G13" s="148">
        <v>2</v>
      </c>
      <c r="H13" s="148">
        <v>7</v>
      </c>
      <c r="I13" s="148">
        <v>2</v>
      </c>
      <c r="J13" s="148">
        <v>10</v>
      </c>
      <c r="K13" s="148">
        <v>44</v>
      </c>
      <c r="L13" s="148">
        <v>5</v>
      </c>
      <c r="M13" s="145"/>
      <c r="N13" s="146"/>
    </row>
    <row r="14" spans="1:37" s="61" customFormat="1" ht="16.5" customHeight="1">
      <c r="A14" s="1271" t="s">
        <v>37</v>
      </c>
      <c r="B14" s="1272"/>
      <c r="C14" s="149">
        <f aca="true" t="shared" si="1" ref="C14:L14">C15+C16</f>
        <v>34</v>
      </c>
      <c r="D14" s="150">
        <f t="shared" si="1"/>
        <v>17</v>
      </c>
      <c r="E14" s="150">
        <f t="shared" si="1"/>
        <v>17</v>
      </c>
      <c r="F14" s="150">
        <f t="shared" si="1"/>
        <v>6</v>
      </c>
      <c r="G14" s="150">
        <f t="shared" si="1"/>
        <v>5</v>
      </c>
      <c r="H14" s="150">
        <f t="shared" si="1"/>
        <v>6</v>
      </c>
      <c r="I14" s="150">
        <f t="shared" si="1"/>
        <v>0</v>
      </c>
      <c r="J14" s="150">
        <f t="shared" si="1"/>
        <v>1</v>
      </c>
      <c r="K14" s="150">
        <f t="shared" si="1"/>
        <v>31</v>
      </c>
      <c r="L14" s="150">
        <f t="shared" si="1"/>
        <v>2</v>
      </c>
      <c r="M14" s="151">
        <f>'[3]kiem tra du lieu'!$B$6</f>
        <v>34</v>
      </c>
      <c r="N14" s="146">
        <f aca="true" t="shared" si="2" ref="N14:N27">C14-M14</f>
        <v>0</v>
      </c>
      <c r="AK14" s="72"/>
    </row>
    <row r="15" spans="1:14" s="61" customFormat="1" ht="16.5" customHeight="1">
      <c r="A15" s="152" t="s">
        <v>0</v>
      </c>
      <c r="B15" s="153" t="s">
        <v>98</v>
      </c>
      <c r="C15" s="149">
        <f aca="true" t="shared" si="3" ref="C15:C27">D15+E15</f>
        <v>0</v>
      </c>
      <c r="D15" s="154">
        <v>0</v>
      </c>
      <c r="E15" s="155">
        <f aca="true" t="shared" si="4" ref="E15:E27">F15+G15+H15+I15</f>
        <v>0</v>
      </c>
      <c r="F15" s="154">
        <v>0</v>
      </c>
      <c r="G15" s="154">
        <v>0</v>
      </c>
      <c r="H15" s="154">
        <v>0</v>
      </c>
      <c r="I15" s="154">
        <v>0</v>
      </c>
      <c r="J15" s="154">
        <v>0</v>
      </c>
      <c r="K15" s="154">
        <v>0</v>
      </c>
      <c r="L15" s="154">
        <v>0</v>
      </c>
      <c r="M15" s="145">
        <f>'[3]kiem tra du lieu'!$B$7</f>
        <v>0</v>
      </c>
      <c r="N15" s="146">
        <f t="shared" si="2"/>
        <v>0</v>
      </c>
    </row>
    <row r="16" spans="1:38" s="61" customFormat="1" ht="16.5" customHeight="1">
      <c r="A16" s="73" t="s">
        <v>1</v>
      </c>
      <c r="B16" s="69" t="s">
        <v>19</v>
      </c>
      <c r="C16" s="149">
        <f t="shared" si="3"/>
        <v>34</v>
      </c>
      <c r="D16" s="150">
        <f>D17+D18+D19+D20+D21+D22+D23+D24+D25+D26+D27</f>
        <v>17</v>
      </c>
      <c r="E16" s="150">
        <f t="shared" si="4"/>
        <v>17</v>
      </c>
      <c r="F16" s="150">
        <f aca="true" t="shared" si="5" ref="F16:M16">F17+F18+F19+F20+F21+F22+F23+F24+F25+F26+F27</f>
        <v>6</v>
      </c>
      <c r="G16" s="150">
        <f t="shared" si="5"/>
        <v>5</v>
      </c>
      <c r="H16" s="150">
        <f t="shared" si="5"/>
        <v>6</v>
      </c>
      <c r="I16" s="150">
        <f t="shared" si="5"/>
        <v>0</v>
      </c>
      <c r="J16" s="150">
        <f t="shared" si="5"/>
        <v>1</v>
      </c>
      <c r="K16" s="150">
        <f t="shared" si="5"/>
        <v>31</v>
      </c>
      <c r="L16" s="150">
        <f t="shared" si="5"/>
        <v>2</v>
      </c>
      <c r="M16" s="150">
        <f t="shared" si="5"/>
        <v>34</v>
      </c>
      <c r="N16" s="146">
        <f t="shared" si="2"/>
        <v>0</v>
      </c>
      <c r="AL16" s="72"/>
    </row>
    <row r="17" spans="1:32" s="157" customFormat="1" ht="16.5" customHeight="1">
      <c r="A17" s="156" t="s">
        <v>52</v>
      </c>
      <c r="B17" s="77" t="s">
        <v>377</v>
      </c>
      <c r="C17" s="149">
        <f t="shared" si="3"/>
        <v>4</v>
      </c>
      <c r="D17" s="154">
        <v>0</v>
      </c>
      <c r="E17" s="150">
        <f t="shared" si="4"/>
        <v>4</v>
      </c>
      <c r="F17" s="154">
        <v>0</v>
      </c>
      <c r="G17" s="154">
        <v>0</v>
      </c>
      <c r="H17" s="154">
        <v>4</v>
      </c>
      <c r="I17" s="154">
        <v>0</v>
      </c>
      <c r="J17" s="154">
        <v>0</v>
      </c>
      <c r="K17" s="154">
        <v>4</v>
      </c>
      <c r="L17" s="154">
        <v>0</v>
      </c>
      <c r="M17" s="145">
        <f>'[3]kiem tra du lieu'!$B$8</f>
        <v>4</v>
      </c>
      <c r="N17" s="146">
        <f t="shared" si="2"/>
        <v>0</v>
      </c>
      <c r="AF17" s="72" t="s">
        <v>379</v>
      </c>
    </row>
    <row r="18" spans="1:14" s="157" customFormat="1" ht="16.5" customHeight="1">
      <c r="A18" s="156" t="s">
        <v>53</v>
      </c>
      <c r="B18" s="77" t="s">
        <v>409</v>
      </c>
      <c r="C18" s="149">
        <f t="shared" si="3"/>
        <v>1</v>
      </c>
      <c r="D18" s="154">
        <v>0</v>
      </c>
      <c r="E18" s="150">
        <f t="shared" si="4"/>
        <v>1</v>
      </c>
      <c r="F18" s="154">
        <v>0</v>
      </c>
      <c r="G18" s="154">
        <v>1</v>
      </c>
      <c r="H18" s="154">
        <v>0</v>
      </c>
      <c r="I18" s="154">
        <v>0</v>
      </c>
      <c r="J18" s="154">
        <v>0</v>
      </c>
      <c r="K18" s="154">
        <v>1</v>
      </c>
      <c r="L18" s="154">
        <v>0</v>
      </c>
      <c r="M18" s="145">
        <f>'[3]kiem tra du lieu'!$B$9</f>
        <v>1</v>
      </c>
      <c r="N18" s="146">
        <f t="shared" si="2"/>
        <v>0</v>
      </c>
    </row>
    <row r="19" spans="1:14" s="157" customFormat="1" ht="16.5" customHeight="1">
      <c r="A19" s="156" t="s">
        <v>58</v>
      </c>
      <c r="B19" s="77" t="s">
        <v>380</v>
      </c>
      <c r="C19" s="149">
        <f t="shared" si="3"/>
        <v>11</v>
      </c>
      <c r="D19" s="154">
        <v>5</v>
      </c>
      <c r="E19" s="150">
        <f t="shared" si="4"/>
        <v>6</v>
      </c>
      <c r="F19" s="154">
        <v>3</v>
      </c>
      <c r="G19" s="154">
        <v>3</v>
      </c>
      <c r="H19" s="154">
        <v>0</v>
      </c>
      <c r="I19" s="154">
        <v>0</v>
      </c>
      <c r="J19" s="154">
        <v>0</v>
      </c>
      <c r="K19" s="158">
        <v>10</v>
      </c>
      <c r="L19" s="154">
        <v>1</v>
      </c>
      <c r="M19" s="145">
        <f>'[3]kiem tra du lieu'!$B$10</f>
        <v>11</v>
      </c>
      <c r="N19" s="146">
        <f t="shared" si="2"/>
        <v>0</v>
      </c>
    </row>
    <row r="20" spans="1:14" s="157" customFormat="1" ht="16.5" customHeight="1">
      <c r="A20" s="156" t="s">
        <v>73</v>
      </c>
      <c r="B20" s="77" t="s">
        <v>381</v>
      </c>
      <c r="C20" s="149">
        <f t="shared" si="3"/>
        <v>0</v>
      </c>
      <c r="D20" s="158">
        <v>0</v>
      </c>
      <c r="E20" s="150">
        <f t="shared" si="4"/>
        <v>0</v>
      </c>
      <c r="F20" s="154">
        <v>0</v>
      </c>
      <c r="G20" s="154">
        <v>0</v>
      </c>
      <c r="H20" s="154">
        <v>0</v>
      </c>
      <c r="I20" s="154">
        <v>0</v>
      </c>
      <c r="J20" s="154">
        <v>0</v>
      </c>
      <c r="K20" s="154">
        <v>0</v>
      </c>
      <c r="L20" s="154">
        <v>0</v>
      </c>
      <c r="M20" s="145">
        <f>'[3]kiem tra du lieu'!$B$11</f>
        <v>0</v>
      </c>
      <c r="N20" s="146">
        <f t="shared" si="2"/>
        <v>0</v>
      </c>
    </row>
    <row r="21" spans="1:39" s="157" customFormat="1" ht="16.5" customHeight="1">
      <c r="A21" s="156" t="s">
        <v>74</v>
      </c>
      <c r="B21" s="77" t="s">
        <v>382</v>
      </c>
      <c r="C21" s="149">
        <f t="shared" si="3"/>
        <v>2</v>
      </c>
      <c r="D21" s="154">
        <v>0</v>
      </c>
      <c r="E21" s="150">
        <f t="shared" si="4"/>
        <v>2</v>
      </c>
      <c r="F21" s="154">
        <v>0</v>
      </c>
      <c r="G21" s="154">
        <v>0</v>
      </c>
      <c r="H21" s="154">
        <v>2</v>
      </c>
      <c r="I21" s="154">
        <v>0</v>
      </c>
      <c r="J21" s="154">
        <v>0</v>
      </c>
      <c r="K21" s="154">
        <v>1</v>
      </c>
      <c r="L21" s="154">
        <v>1</v>
      </c>
      <c r="M21" s="145">
        <f>'[3]kiem tra du lieu'!$B$12</f>
        <v>2</v>
      </c>
      <c r="N21" s="146">
        <f t="shared" si="2"/>
        <v>0</v>
      </c>
      <c r="AJ21" s="157" t="s">
        <v>384</v>
      </c>
      <c r="AK21" s="157" t="s">
        <v>385</v>
      </c>
      <c r="AL21" s="157" t="s">
        <v>386</v>
      </c>
      <c r="AM21" s="72" t="s">
        <v>387</v>
      </c>
    </row>
    <row r="22" spans="1:39" s="157" customFormat="1" ht="16.5" customHeight="1">
      <c r="A22" s="156" t="s">
        <v>75</v>
      </c>
      <c r="B22" s="77" t="s">
        <v>383</v>
      </c>
      <c r="C22" s="149">
        <f t="shared" si="3"/>
        <v>1</v>
      </c>
      <c r="D22" s="154">
        <v>0</v>
      </c>
      <c r="E22" s="150">
        <f t="shared" si="4"/>
        <v>1</v>
      </c>
      <c r="F22" s="154">
        <v>1</v>
      </c>
      <c r="G22" s="154">
        <v>0</v>
      </c>
      <c r="H22" s="154">
        <v>0</v>
      </c>
      <c r="I22" s="154">
        <v>0</v>
      </c>
      <c r="J22" s="154">
        <v>0</v>
      </c>
      <c r="K22" s="154">
        <v>1</v>
      </c>
      <c r="L22" s="154">
        <v>0</v>
      </c>
      <c r="M22" s="145">
        <f>'[3]kiem tra du lieu'!$B$13</f>
        <v>1</v>
      </c>
      <c r="N22" s="146">
        <f t="shared" si="2"/>
        <v>0</v>
      </c>
      <c r="AM22" s="72" t="s">
        <v>389</v>
      </c>
    </row>
    <row r="23" spans="1:14" s="157" customFormat="1" ht="16.5" customHeight="1">
      <c r="A23" s="156" t="s">
        <v>76</v>
      </c>
      <c r="B23" s="77" t="s">
        <v>388</v>
      </c>
      <c r="C23" s="149">
        <f t="shared" si="3"/>
        <v>1</v>
      </c>
      <c r="D23" s="154">
        <v>1</v>
      </c>
      <c r="E23" s="150">
        <f t="shared" si="4"/>
        <v>0</v>
      </c>
      <c r="F23" s="154">
        <v>0</v>
      </c>
      <c r="G23" s="154">
        <v>0</v>
      </c>
      <c r="H23" s="154">
        <v>0</v>
      </c>
      <c r="I23" s="154">
        <v>0</v>
      </c>
      <c r="J23" s="154">
        <v>0</v>
      </c>
      <c r="K23" s="154">
        <v>1</v>
      </c>
      <c r="L23" s="154">
        <v>0</v>
      </c>
      <c r="M23" s="145">
        <f>'[3]kiem tra du lieu'!$B$14</f>
        <v>1</v>
      </c>
      <c r="N23" s="146">
        <f t="shared" si="2"/>
        <v>0</v>
      </c>
    </row>
    <row r="24" spans="1:36" s="157" customFormat="1" ht="16.5" customHeight="1">
      <c r="A24" s="156" t="s">
        <v>77</v>
      </c>
      <c r="B24" s="77" t="s">
        <v>390</v>
      </c>
      <c r="C24" s="149">
        <f t="shared" si="3"/>
        <v>1</v>
      </c>
      <c r="D24" s="154">
        <v>0</v>
      </c>
      <c r="E24" s="150">
        <f t="shared" si="4"/>
        <v>1</v>
      </c>
      <c r="F24" s="159">
        <v>1</v>
      </c>
      <c r="G24" s="159">
        <v>0</v>
      </c>
      <c r="H24" s="159">
        <v>0</v>
      </c>
      <c r="I24" s="159">
        <v>0</v>
      </c>
      <c r="J24" s="159">
        <v>0</v>
      </c>
      <c r="K24" s="159">
        <v>1</v>
      </c>
      <c r="L24" s="159">
        <v>0</v>
      </c>
      <c r="M24" s="145">
        <f>'[3]kiem tra du lieu'!$B$15</f>
        <v>1</v>
      </c>
      <c r="N24" s="146">
        <f t="shared" si="2"/>
        <v>0</v>
      </c>
      <c r="AJ24" s="157" t="s">
        <v>384</v>
      </c>
    </row>
    <row r="25" spans="1:36" s="157" customFormat="1" ht="16.5" customHeight="1">
      <c r="A25" s="156" t="s">
        <v>78</v>
      </c>
      <c r="B25" s="77" t="s">
        <v>391</v>
      </c>
      <c r="C25" s="149">
        <f t="shared" si="3"/>
        <v>10</v>
      </c>
      <c r="D25" s="154">
        <v>10</v>
      </c>
      <c r="E25" s="150">
        <f t="shared" si="4"/>
        <v>0</v>
      </c>
      <c r="F25" s="154">
        <v>0</v>
      </c>
      <c r="G25" s="154">
        <v>0</v>
      </c>
      <c r="H25" s="154">
        <v>0</v>
      </c>
      <c r="I25" s="154">
        <v>0</v>
      </c>
      <c r="J25" s="154">
        <v>0</v>
      </c>
      <c r="K25" s="154">
        <v>10</v>
      </c>
      <c r="L25" s="154">
        <v>0</v>
      </c>
      <c r="M25" s="145">
        <f>'[3]kiem tra du lieu'!$B$16</f>
        <v>10</v>
      </c>
      <c r="N25" s="146">
        <f t="shared" si="2"/>
        <v>0</v>
      </c>
      <c r="AJ25" s="72" t="s">
        <v>393</v>
      </c>
    </row>
    <row r="26" spans="1:44" s="79" customFormat="1" ht="16.5" customHeight="1">
      <c r="A26" s="160" t="s">
        <v>101</v>
      </c>
      <c r="B26" s="77" t="s">
        <v>392</v>
      </c>
      <c r="C26" s="149">
        <f t="shared" si="3"/>
        <v>2</v>
      </c>
      <c r="D26" s="154">
        <v>0</v>
      </c>
      <c r="E26" s="150">
        <f t="shared" si="4"/>
        <v>2</v>
      </c>
      <c r="F26" s="154">
        <v>1</v>
      </c>
      <c r="G26" s="154">
        <v>1</v>
      </c>
      <c r="H26" s="154">
        <v>0</v>
      </c>
      <c r="I26" s="154">
        <v>0</v>
      </c>
      <c r="J26" s="154">
        <v>0</v>
      </c>
      <c r="K26" s="154">
        <v>2</v>
      </c>
      <c r="L26" s="154">
        <v>0</v>
      </c>
      <c r="M26" s="145">
        <f>'[3]kiem tra du lieu'!$B$17</f>
        <v>2</v>
      </c>
      <c r="N26" s="146">
        <f t="shared" si="2"/>
        <v>0</v>
      </c>
      <c r="AR26" s="161"/>
    </row>
    <row r="27" spans="1:14" s="157" customFormat="1" ht="16.5" customHeight="1">
      <c r="A27" s="156" t="s">
        <v>102</v>
      </c>
      <c r="B27" s="77" t="s">
        <v>394</v>
      </c>
      <c r="C27" s="149">
        <f t="shared" si="3"/>
        <v>1</v>
      </c>
      <c r="D27" s="154">
        <v>1</v>
      </c>
      <c r="E27" s="150">
        <f t="shared" si="4"/>
        <v>0</v>
      </c>
      <c r="F27" s="154">
        <v>0</v>
      </c>
      <c r="G27" s="154">
        <v>0</v>
      </c>
      <c r="H27" s="154">
        <v>0</v>
      </c>
      <c r="I27" s="154">
        <v>0</v>
      </c>
      <c r="J27" s="154">
        <v>1</v>
      </c>
      <c r="K27" s="154">
        <v>0</v>
      </c>
      <c r="L27" s="154">
        <v>0</v>
      </c>
      <c r="M27" s="145">
        <f>'[3]kiem tra du lieu'!$B$18</f>
        <v>1</v>
      </c>
      <c r="N27" s="146">
        <f t="shared" si="2"/>
        <v>0</v>
      </c>
    </row>
    <row r="28" spans="1:35" ht="6" customHeight="1">
      <c r="A28" s="162"/>
      <c r="B28" s="163"/>
      <c r="C28" s="164"/>
      <c r="D28" s="164"/>
      <c r="E28" s="164"/>
      <c r="F28" s="164"/>
      <c r="G28" s="164"/>
      <c r="H28" s="164"/>
      <c r="I28" s="164"/>
      <c r="J28" s="164"/>
      <c r="K28" s="164"/>
      <c r="L28" s="164"/>
      <c r="M28" s="165"/>
      <c r="AG28" s="42" t="s">
        <v>396</v>
      </c>
      <c r="AI28" s="166">
        <f>82/88</f>
        <v>0.9318181818181818</v>
      </c>
    </row>
    <row r="29" spans="1:13" ht="16.5" customHeight="1">
      <c r="A29" s="1178" t="s">
        <v>467</v>
      </c>
      <c r="B29" s="1275"/>
      <c r="C29" s="1275"/>
      <c r="D29" s="1275"/>
      <c r="E29" s="167"/>
      <c r="F29" s="167"/>
      <c r="G29" s="167"/>
      <c r="H29" s="1257" t="s">
        <v>417</v>
      </c>
      <c r="I29" s="1257"/>
      <c r="J29" s="1257"/>
      <c r="K29" s="1257"/>
      <c r="L29" s="1257"/>
      <c r="M29" s="168"/>
    </row>
    <row r="30" spans="1:12" ht="18.75">
      <c r="A30" s="1275"/>
      <c r="B30" s="1275"/>
      <c r="C30" s="1275"/>
      <c r="D30" s="1275"/>
      <c r="E30" s="167"/>
      <c r="F30" s="167"/>
      <c r="G30" s="167"/>
      <c r="H30" s="1258" t="s">
        <v>418</v>
      </c>
      <c r="I30" s="1258"/>
      <c r="J30" s="1258"/>
      <c r="K30" s="1258"/>
      <c r="L30" s="1258"/>
    </row>
    <row r="31" spans="1:12" s="41" customFormat="1" ht="16.5" customHeight="1">
      <c r="A31" s="1174"/>
      <c r="B31" s="1174"/>
      <c r="C31" s="1174"/>
      <c r="D31" s="1174"/>
      <c r="E31" s="169"/>
      <c r="F31" s="169"/>
      <c r="G31" s="169"/>
      <c r="H31" s="1175"/>
      <c r="I31" s="1175"/>
      <c r="J31" s="1175"/>
      <c r="K31" s="1175"/>
      <c r="L31" s="1175"/>
    </row>
    <row r="32" spans="1:12" ht="18.75">
      <c r="A32" s="98"/>
      <c r="B32" s="1174" t="s">
        <v>399</v>
      </c>
      <c r="C32" s="1174"/>
      <c r="D32" s="1174"/>
      <c r="E32" s="169"/>
      <c r="F32" s="169"/>
      <c r="G32" s="169"/>
      <c r="H32" s="169"/>
      <c r="I32" s="1276" t="s">
        <v>399</v>
      </c>
      <c r="J32" s="1276"/>
      <c r="K32" s="1276"/>
      <c r="L32" s="98"/>
    </row>
    <row r="33" spans="1:12" ht="9" customHeight="1">
      <c r="A33" s="170"/>
      <c r="B33" s="171"/>
      <c r="C33" s="171"/>
      <c r="D33" s="171"/>
      <c r="E33" s="171"/>
      <c r="F33" s="171"/>
      <c r="G33" s="171"/>
      <c r="H33" s="171"/>
      <c r="I33" s="171"/>
      <c r="J33" s="171"/>
      <c r="K33" s="170"/>
      <c r="L33" s="170"/>
    </row>
    <row r="34" spans="1:12" ht="18.75">
      <c r="A34" s="170"/>
      <c r="B34" s="171"/>
      <c r="C34" s="171"/>
      <c r="D34" s="171"/>
      <c r="E34" s="171"/>
      <c r="F34" s="171"/>
      <c r="G34" s="171"/>
      <c r="H34" s="171"/>
      <c r="I34" s="171"/>
      <c r="J34" s="171"/>
      <c r="K34" s="170"/>
      <c r="L34" s="170"/>
    </row>
    <row r="35" spans="1:12" ht="9" customHeight="1">
      <c r="A35" s="170"/>
      <c r="B35" s="171"/>
      <c r="C35" s="171"/>
      <c r="D35" s="171"/>
      <c r="E35" s="171"/>
      <c r="F35" s="171"/>
      <c r="G35" s="171"/>
      <c r="H35" s="171"/>
      <c r="I35" s="171"/>
      <c r="J35" s="171"/>
      <c r="K35" s="170"/>
      <c r="L35" s="170"/>
    </row>
    <row r="36" spans="1:12" ht="18.75">
      <c r="A36" s="98"/>
      <c r="B36" s="169"/>
      <c r="C36" s="169"/>
      <c r="D36" s="169"/>
      <c r="E36" s="169"/>
      <c r="F36" s="169"/>
      <c r="G36" s="169"/>
      <c r="H36" s="169"/>
      <c r="I36" s="169"/>
      <c r="J36" s="169"/>
      <c r="K36" s="98"/>
      <c r="L36" s="98"/>
    </row>
    <row r="37" spans="1:13" ht="18.75">
      <c r="A37" s="1205" t="s">
        <v>352</v>
      </c>
      <c r="B37" s="1205"/>
      <c r="C37" s="1205"/>
      <c r="D37" s="1205"/>
      <c r="E37" s="100"/>
      <c r="F37" s="100"/>
      <c r="G37" s="100"/>
      <c r="H37" s="1206" t="s">
        <v>352</v>
      </c>
      <c r="I37" s="1206"/>
      <c r="J37" s="1206"/>
      <c r="K37" s="1206"/>
      <c r="L37" s="1206"/>
      <c r="M37" s="172"/>
    </row>
    <row r="38" spans="1:12" ht="22.5" customHeight="1">
      <c r="A38" s="98"/>
      <c r="B38" s="169"/>
      <c r="C38" s="169"/>
      <c r="D38" s="169"/>
      <c r="E38" s="169"/>
      <c r="F38" s="169"/>
      <c r="G38" s="169"/>
      <c r="H38" s="169"/>
      <c r="I38" s="169"/>
      <c r="J38" s="169"/>
      <c r="K38" s="98"/>
      <c r="L38" s="98"/>
    </row>
    <row r="39" spans="1:12" ht="19.5">
      <c r="A39" s="173" t="s">
        <v>47</v>
      </c>
      <c r="B39" s="169"/>
      <c r="C39" s="169"/>
      <c r="D39" s="169"/>
      <c r="E39" s="169"/>
      <c r="F39" s="169"/>
      <c r="G39" s="169"/>
      <c r="H39" s="169"/>
      <c r="I39" s="169"/>
      <c r="J39" s="169"/>
      <c r="K39" s="98"/>
      <c r="L39" s="98"/>
    </row>
    <row r="40" spans="2:12" ht="15.75" customHeight="1">
      <c r="B40" s="1270" t="s">
        <v>59</v>
      </c>
      <c r="C40" s="1270"/>
      <c r="D40" s="1270"/>
      <c r="E40" s="1270"/>
      <c r="F40" s="1270"/>
      <c r="G40" s="1270"/>
      <c r="H40" s="1270"/>
      <c r="I40" s="1270"/>
      <c r="J40" s="1270"/>
      <c r="K40" s="1270"/>
      <c r="L40" s="1270"/>
    </row>
    <row r="41" spans="1:12" ht="16.5" customHeight="1">
      <c r="A41" s="174"/>
      <c r="B41" s="1269" t="s">
        <v>61</v>
      </c>
      <c r="C41" s="1269"/>
      <c r="D41" s="1269"/>
      <c r="E41" s="1269"/>
      <c r="F41" s="1269"/>
      <c r="G41" s="1269"/>
      <c r="H41" s="1269"/>
      <c r="I41" s="1269"/>
      <c r="J41" s="1269"/>
      <c r="K41" s="1269"/>
      <c r="L41" s="1269"/>
    </row>
    <row r="42" ht="15.75">
      <c r="B42" s="47" t="s">
        <v>60</v>
      </c>
    </row>
  </sheetData>
  <sheetProtection/>
  <mergeCells count="38">
    <mergeCell ref="B41:L41"/>
    <mergeCell ref="B40:L40"/>
    <mergeCell ref="A14:B14"/>
    <mergeCell ref="A11:B11"/>
    <mergeCell ref="A29:D30"/>
    <mergeCell ref="H37:L37"/>
    <mergeCell ref="A37:D37"/>
    <mergeCell ref="B32:D32"/>
    <mergeCell ref="I32:K32"/>
    <mergeCell ref="A31:D31"/>
    <mergeCell ref="H29:L29"/>
    <mergeCell ref="H30:L30"/>
    <mergeCell ref="H31:L31"/>
    <mergeCell ref="A6:B10"/>
    <mergeCell ref="A13:B13"/>
    <mergeCell ref="A12:B12"/>
    <mergeCell ref="J9:L9"/>
    <mergeCell ref="J6:L8"/>
    <mergeCell ref="A3:C3"/>
    <mergeCell ref="D1:I3"/>
    <mergeCell ref="J5:L5"/>
    <mergeCell ref="D4:I4"/>
    <mergeCell ref="A4:C4"/>
    <mergeCell ref="J1:L1"/>
    <mergeCell ref="J2:L2"/>
    <mergeCell ref="J3:L3"/>
    <mergeCell ref="J4:L4"/>
    <mergeCell ref="A2:C2"/>
    <mergeCell ref="A1:C1"/>
    <mergeCell ref="M6:M10"/>
    <mergeCell ref="N6:N10"/>
    <mergeCell ref="C6:C10"/>
    <mergeCell ref="E9:E10"/>
    <mergeCell ref="D6:I6"/>
    <mergeCell ref="E8:I8"/>
    <mergeCell ref="D8:D10"/>
    <mergeCell ref="F9:I9"/>
    <mergeCell ref="D7:I7"/>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93" customWidth="1"/>
    <col min="2" max="2" width="18.25390625" style="193" customWidth="1"/>
    <col min="3" max="3" width="10.625" style="193" customWidth="1"/>
    <col min="4" max="4" width="6.875" style="193" customWidth="1"/>
    <col min="5" max="8" width="5.00390625" style="193" customWidth="1"/>
    <col min="9" max="9" width="4.75390625" style="193" customWidth="1"/>
    <col min="10" max="10" width="5.00390625" style="193" customWidth="1"/>
    <col min="11" max="11" width="5.75390625" style="193" customWidth="1"/>
    <col min="12" max="12" width="5.375" style="193" customWidth="1"/>
    <col min="13" max="13" width="5.00390625" style="193" customWidth="1"/>
    <col min="14" max="14" width="5.375" style="193" customWidth="1"/>
    <col min="15" max="15" width="5.00390625" style="193" customWidth="1"/>
    <col min="16" max="16" width="5.75390625" style="193" customWidth="1"/>
    <col min="17" max="20" width="5.00390625" style="193" customWidth="1"/>
    <col min="21" max="16384" width="8.00390625" style="193" customWidth="1"/>
  </cols>
  <sheetData>
    <row r="1" spans="1:21" ht="16.5" customHeight="1">
      <c r="A1" s="1293" t="s">
        <v>229</v>
      </c>
      <c r="B1" s="1293"/>
      <c r="C1" s="1293"/>
      <c r="D1" s="1288" t="s">
        <v>421</v>
      </c>
      <c r="E1" s="1289"/>
      <c r="F1" s="1289"/>
      <c r="G1" s="1289"/>
      <c r="H1" s="1289"/>
      <c r="I1" s="1289"/>
      <c r="J1" s="1289"/>
      <c r="K1" s="1289"/>
      <c r="L1" s="1289"/>
      <c r="M1" s="1289"/>
      <c r="N1" s="1289"/>
      <c r="O1" s="221"/>
      <c r="P1" s="178" t="s">
        <v>471</v>
      </c>
      <c r="Q1" s="177"/>
      <c r="R1" s="177"/>
      <c r="S1" s="177"/>
      <c r="T1" s="177"/>
      <c r="U1" s="221"/>
    </row>
    <row r="2" spans="1:21" ht="16.5" customHeight="1">
      <c r="A2" s="1290" t="s">
        <v>422</v>
      </c>
      <c r="B2" s="1290"/>
      <c r="C2" s="1290"/>
      <c r="D2" s="1289"/>
      <c r="E2" s="1289"/>
      <c r="F2" s="1289"/>
      <c r="G2" s="1289"/>
      <c r="H2" s="1289"/>
      <c r="I2" s="1289"/>
      <c r="J2" s="1289"/>
      <c r="K2" s="1289"/>
      <c r="L2" s="1289"/>
      <c r="M2" s="1289"/>
      <c r="N2" s="1289"/>
      <c r="O2" s="222"/>
      <c r="P2" s="1281" t="s">
        <v>423</v>
      </c>
      <c r="Q2" s="1281"/>
      <c r="R2" s="1281"/>
      <c r="S2" s="1281"/>
      <c r="T2" s="1281"/>
      <c r="U2" s="222"/>
    </row>
    <row r="3" spans="1:21" ht="16.5" customHeight="1">
      <c r="A3" s="1309" t="s">
        <v>424</v>
      </c>
      <c r="B3" s="1309"/>
      <c r="C3" s="1309"/>
      <c r="D3" s="1294" t="s">
        <v>425</v>
      </c>
      <c r="E3" s="1294"/>
      <c r="F3" s="1294"/>
      <c r="G3" s="1294"/>
      <c r="H3" s="1294"/>
      <c r="I3" s="1294"/>
      <c r="J3" s="1294"/>
      <c r="K3" s="1294"/>
      <c r="L3" s="1294"/>
      <c r="M3" s="1294"/>
      <c r="N3" s="1294"/>
      <c r="O3" s="222"/>
      <c r="P3" s="182" t="s">
        <v>470</v>
      </c>
      <c r="Q3" s="222"/>
      <c r="R3" s="222"/>
      <c r="S3" s="222"/>
      <c r="T3" s="222"/>
      <c r="U3" s="222"/>
    </row>
    <row r="4" spans="1:21" ht="16.5" customHeight="1">
      <c r="A4" s="1295" t="s">
        <v>364</v>
      </c>
      <c r="B4" s="1295"/>
      <c r="C4" s="1295"/>
      <c r="D4" s="1316"/>
      <c r="E4" s="1316"/>
      <c r="F4" s="1316"/>
      <c r="G4" s="1316"/>
      <c r="H4" s="1316"/>
      <c r="I4" s="1316"/>
      <c r="J4" s="1316"/>
      <c r="K4" s="1316"/>
      <c r="L4" s="1316"/>
      <c r="M4" s="1316"/>
      <c r="N4" s="1316"/>
      <c r="O4" s="222"/>
      <c r="P4" s="181" t="s">
        <v>403</v>
      </c>
      <c r="Q4" s="222"/>
      <c r="R4" s="222"/>
      <c r="S4" s="222"/>
      <c r="T4" s="222"/>
      <c r="U4" s="222"/>
    </row>
    <row r="5" spans="12:21" ht="16.5" customHeight="1">
      <c r="L5" s="223"/>
      <c r="M5" s="223"/>
      <c r="N5" s="223"/>
      <c r="O5" s="185"/>
      <c r="P5" s="184" t="s">
        <v>426</v>
      </c>
      <c r="Q5" s="185"/>
      <c r="R5" s="185"/>
      <c r="S5" s="185"/>
      <c r="T5" s="185"/>
      <c r="U5" s="181"/>
    </row>
    <row r="6" spans="1:21" s="226" customFormat="1" ht="15.75" customHeight="1">
      <c r="A6" s="1282" t="s">
        <v>72</v>
      </c>
      <c r="B6" s="1283"/>
      <c r="C6" s="1277" t="s">
        <v>230</v>
      </c>
      <c r="D6" s="1291" t="s">
        <v>231</v>
      </c>
      <c r="E6" s="1292"/>
      <c r="F6" s="1292"/>
      <c r="G6" s="1292"/>
      <c r="H6" s="1292"/>
      <c r="I6" s="1292"/>
      <c r="J6" s="1292"/>
      <c r="K6" s="1292"/>
      <c r="L6" s="1292"/>
      <c r="M6" s="1292"/>
      <c r="N6" s="1292"/>
      <c r="O6" s="1292"/>
      <c r="P6" s="1292"/>
      <c r="Q6" s="1292"/>
      <c r="R6" s="1292"/>
      <c r="S6" s="1292"/>
      <c r="T6" s="1277" t="s">
        <v>232</v>
      </c>
      <c r="U6" s="225"/>
    </row>
    <row r="7" spans="1:20" s="227" customFormat="1" ht="12.75" customHeight="1">
      <c r="A7" s="1284"/>
      <c r="B7" s="1285"/>
      <c r="C7" s="1277"/>
      <c r="D7" s="1313" t="s">
        <v>227</v>
      </c>
      <c r="E7" s="1292" t="s">
        <v>7</v>
      </c>
      <c r="F7" s="1292"/>
      <c r="G7" s="1292"/>
      <c r="H7" s="1292"/>
      <c r="I7" s="1292"/>
      <c r="J7" s="1292"/>
      <c r="K7" s="1292"/>
      <c r="L7" s="1292"/>
      <c r="M7" s="1292"/>
      <c r="N7" s="1292"/>
      <c r="O7" s="1292"/>
      <c r="P7" s="1292"/>
      <c r="Q7" s="1292"/>
      <c r="R7" s="1292"/>
      <c r="S7" s="1292"/>
      <c r="T7" s="1277"/>
    </row>
    <row r="8" spans="1:21" s="227" customFormat="1" ht="43.5" customHeight="1">
      <c r="A8" s="1284"/>
      <c r="B8" s="1285"/>
      <c r="C8" s="1277"/>
      <c r="D8" s="1314"/>
      <c r="E8" s="1280" t="s">
        <v>233</v>
      </c>
      <c r="F8" s="1277"/>
      <c r="G8" s="1277"/>
      <c r="H8" s="1277" t="s">
        <v>234</v>
      </c>
      <c r="I8" s="1277"/>
      <c r="J8" s="1277"/>
      <c r="K8" s="1277" t="s">
        <v>235</v>
      </c>
      <c r="L8" s="1277"/>
      <c r="M8" s="1277" t="s">
        <v>236</v>
      </c>
      <c r="N8" s="1277"/>
      <c r="O8" s="1277"/>
      <c r="P8" s="1277" t="s">
        <v>237</v>
      </c>
      <c r="Q8" s="1277" t="s">
        <v>238</v>
      </c>
      <c r="R8" s="1277" t="s">
        <v>239</v>
      </c>
      <c r="S8" s="1296" t="s">
        <v>240</v>
      </c>
      <c r="T8" s="1277"/>
      <c r="U8" s="1306" t="s">
        <v>427</v>
      </c>
    </row>
    <row r="9" spans="1:21" s="227" customFormat="1" ht="44.25" customHeight="1">
      <c r="A9" s="1286"/>
      <c r="B9" s="1287"/>
      <c r="C9" s="1277"/>
      <c r="D9" s="1315"/>
      <c r="E9" s="228" t="s">
        <v>241</v>
      </c>
      <c r="F9" s="224" t="s">
        <v>242</v>
      </c>
      <c r="G9" s="224" t="s">
        <v>428</v>
      </c>
      <c r="H9" s="224" t="s">
        <v>243</v>
      </c>
      <c r="I9" s="224" t="s">
        <v>244</v>
      </c>
      <c r="J9" s="224" t="s">
        <v>245</v>
      </c>
      <c r="K9" s="224" t="s">
        <v>242</v>
      </c>
      <c r="L9" s="224" t="s">
        <v>246</v>
      </c>
      <c r="M9" s="224" t="s">
        <v>247</v>
      </c>
      <c r="N9" s="224" t="s">
        <v>248</v>
      </c>
      <c r="O9" s="224" t="s">
        <v>429</v>
      </c>
      <c r="P9" s="1277"/>
      <c r="Q9" s="1277"/>
      <c r="R9" s="1277"/>
      <c r="S9" s="1296"/>
      <c r="T9" s="1277"/>
      <c r="U9" s="1307"/>
    </row>
    <row r="10" spans="1:21" s="231" customFormat="1" ht="15.75" customHeight="1">
      <c r="A10" s="1310" t="s">
        <v>6</v>
      </c>
      <c r="B10" s="1311"/>
      <c r="C10" s="229">
        <v>1</v>
      </c>
      <c r="D10" s="229">
        <v>2</v>
      </c>
      <c r="E10" s="230">
        <v>3</v>
      </c>
      <c r="F10" s="230">
        <v>4</v>
      </c>
      <c r="G10" s="230">
        <v>5</v>
      </c>
      <c r="H10" s="230">
        <v>6</v>
      </c>
      <c r="I10" s="230">
        <v>7</v>
      </c>
      <c r="J10" s="230">
        <v>8</v>
      </c>
      <c r="K10" s="230">
        <v>9</v>
      </c>
      <c r="L10" s="230">
        <v>10</v>
      </c>
      <c r="M10" s="230">
        <v>11</v>
      </c>
      <c r="N10" s="230">
        <v>12</v>
      </c>
      <c r="O10" s="230">
        <v>13</v>
      </c>
      <c r="P10" s="230">
        <v>14</v>
      </c>
      <c r="Q10" s="230">
        <v>15</v>
      </c>
      <c r="R10" s="230">
        <v>16</v>
      </c>
      <c r="S10" s="230">
        <v>17</v>
      </c>
      <c r="T10" s="230">
        <v>18</v>
      </c>
      <c r="U10" s="1307"/>
    </row>
    <row r="11" spans="1:21" s="231" customFormat="1" ht="15.75" customHeight="1">
      <c r="A11" s="1278" t="s">
        <v>407</v>
      </c>
      <c r="B11" s="1279"/>
      <c r="C11" s="232">
        <f aca="true" t="shared" si="0" ref="C11:T11">C13-C12</f>
        <v>-2</v>
      </c>
      <c r="D11" s="232">
        <f t="shared" si="0"/>
        <v>0</v>
      </c>
      <c r="E11" s="232">
        <f t="shared" si="0"/>
        <v>0</v>
      </c>
      <c r="F11" s="232">
        <f t="shared" si="0"/>
        <v>8</v>
      </c>
      <c r="G11" s="232">
        <f t="shared" si="0"/>
        <v>-4</v>
      </c>
      <c r="H11" s="232">
        <f t="shared" si="0"/>
        <v>0</v>
      </c>
      <c r="I11" s="232">
        <f t="shared" si="0"/>
        <v>0</v>
      </c>
      <c r="J11" s="232">
        <f t="shared" si="0"/>
        <v>0</v>
      </c>
      <c r="K11" s="232">
        <f t="shared" si="0"/>
        <v>0</v>
      </c>
      <c r="L11" s="232">
        <f t="shared" si="0"/>
        <v>-3</v>
      </c>
      <c r="M11" s="232">
        <f t="shared" si="0"/>
        <v>0</v>
      </c>
      <c r="N11" s="232">
        <f t="shared" si="0"/>
        <v>1</v>
      </c>
      <c r="O11" s="232">
        <f t="shared" si="0"/>
        <v>-1</v>
      </c>
      <c r="P11" s="232">
        <f t="shared" si="0"/>
        <v>0</v>
      </c>
      <c r="Q11" s="232">
        <f t="shared" si="0"/>
        <v>0</v>
      </c>
      <c r="R11" s="232">
        <f t="shared" si="0"/>
        <v>0</v>
      </c>
      <c r="S11" s="232">
        <f t="shared" si="0"/>
        <v>-1</v>
      </c>
      <c r="T11" s="232">
        <f t="shared" si="0"/>
        <v>-2</v>
      </c>
      <c r="U11" s="1308"/>
    </row>
    <row r="12" spans="1:21" s="231" customFormat="1" ht="15.75" customHeight="1">
      <c r="A12" s="1297" t="s">
        <v>408</v>
      </c>
      <c r="B12" s="1298"/>
      <c r="C12" s="233">
        <v>125</v>
      </c>
      <c r="D12" s="233">
        <v>122</v>
      </c>
      <c r="E12" s="233">
        <v>0</v>
      </c>
      <c r="F12" s="233">
        <v>3</v>
      </c>
      <c r="G12" s="233">
        <v>43</v>
      </c>
      <c r="H12" s="233">
        <v>0</v>
      </c>
      <c r="I12" s="233">
        <v>0</v>
      </c>
      <c r="J12" s="233">
        <v>8</v>
      </c>
      <c r="K12" s="233">
        <v>4</v>
      </c>
      <c r="L12" s="233">
        <v>10</v>
      </c>
      <c r="M12" s="233">
        <v>0</v>
      </c>
      <c r="N12" s="233">
        <v>0</v>
      </c>
      <c r="O12" s="233">
        <v>20</v>
      </c>
      <c r="P12" s="233">
        <v>2</v>
      </c>
      <c r="Q12" s="233">
        <v>16</v>
      </c>
      <c r="R12" s="233">
        <v>0</v>
      </c>
      <c r="S12" s="233">
        <v>16</v>
      </c>
      <c r="T12" s="233">
        <v>3</v>
      </c>
      <c r="U12" s="234">
        <f>D12-'Báo cáo chất lượng CB Mẫu 14'!C14</f>
        <v>0</v>
      </c>
    </row>
    <row r="13" spans="1:21" s="231" customFormat="1" ht="15.75" customHeight="1">
      <c r="A13" s="1303" t="s">
        <v>37</v>
      </c>
      <c r="B13" s="1304"/>
      <c r="C13" s="235">
        <f aca="true" t="shared" si="1" ref="C13:T13">C14+C15</f>
        <v>123</v>
      </c>
      <c r="D13" s="235">
        <f t="shared" si="1"/>
        <v>122</v>
      </c>
      <c r="E13" s="235">
        <f t="shared" si="1"/>
        <v>0</v>
      </c>
      <c r="F13" s="235">
        <f t="shared" si="1"/>
        <v>11</v>
      </c>
      <c r="G13" s="235">
        <f t="shared" si="1"/>
        <v>39</v>
      </c>
      <c r="H13" s="235">
        <f t="shared" si="1"/>
        <v>0</v>
      </c>
      <c r="I13" s="235">
        <f t="shared" si="1"/>
        <v>0</v>
      </c>
      <c r="J13" s="235">
        <f t="shared" si="1"/>
        <v>8</v>
      </c>
      <c r="K13" s="235">
        <f t="shared" si="1"/>
        <v>4</v>
      </c>
      <c r="L13" s="235">
        <f t="shared" si="1"/>
        <v>7</v>
      </c>
      <c r="M13" s="235">
        <f t="shared" si="1"/>
        <v>0</v>
      </c>
      <c r="N13" s="235">
        <f t="shared" si="1"/>
        <v>1</v>
      </c>
      <c r="O13" s="235">
        <f t="shared" si="1"/>
        <v>19</v>
      </c>
      <c r="P13" s="235">
        <f t="shared" si="1"/>
        <v>2</v>
      </c>
      <c r="Q13" s="235">
        <f t="shared" si="1"/>
        <v>16</v>
      </c>
      <c r="R13" s="235">
        <f t="shared" si="1"/>
        <v>0</v>
      </c>
      <c r="S13" s="235">
        <f t="shared" si="1"/>
        <v>15</v>
      </c>
      <c r="T13" s="235">
        <f t="shared" si="1"/>
        <v>1</v>
      </c>
      <c r="U13" s="234">
        <f>D13-'Báo cáo chất lượng CB Mẫu 14'!C14</f>
        <v>0</v>
      </c>
    </row>
    <row r="14" spans="1:21" s="231" customFormat="1" ht="15.75" customHeight="1">
      <c r="A14" s="236" t="s">
        <v>0</v>
      </c>
      <c r="B14" s="188" t="s">
        <v>98</v>
      </c>
      <c r="C14" s="235">
        <f aca="true" t="shared" si="2" ref="C14:C26">D14+T14</f>
        <v>25</v>
      </c>
      <c r="D14" s="235">
        <f aca="true" t="shared" si="3" ref="D14:D26">SUM(E14:S14)</f>
        <v>25</v>
      </c>
      <c r="E14" s="237"/>
      <c r="F14" s="237">
        <v>4</v>
      </c>
      <c r="G14" s="237">
        <v>5</v>
      </c>
      <c r="H14" s="237"/>
      <c r="I14" s="237"/>
      <c r="J14" s="237">
        <v>2</v>
      </c>
      <c r="K14" s="237"/>
      <c r="L14" s="237">
        <v>3</v>
      </c>
      <c r="M14" s="237"/>
      <c r="N14" s="237">
        <v>1</v>
      </c>
      <c r="O14" s="237">
        <v>5</v>
      </c>
      <c r="P14" s="237"/>
      <c r="Q14" s="237">
        <v>2</v>
      </c>
      <c r="R14" s="237"/>
      <c r="S14" s="237">
        <v>3</v>
      </c>
      <c r="T14" s="237">
        <v>0</v>
      </c>
      <c r="U14" s="234">
        <f>D14-'Báo cáo chất lượng CB Mẫu 14'!C15</f>
        <v>0</v>
      </c>
    </row>
    <row r="15" spans="1:21" s="231" customFormat="1" ht="15.75" customHeight="1">
      <c r="A15" s="238" t="s">
        <v>1</v>
      </c>
      <c r="B15" s="188" t="s">
        <v>19</v>
      </c>
      <c r="C15" s="235">
        <f t="shared" si="2"/>
        <v>98</v>
      </c>
      <c r="D15" s="235">
        <f t="shared" si="3"/>
        <v>97</v>
      </c>
      <c r="E15" s="235">
        <f aca="true" t="shared" si="4" ref="E15:T15">SUM(E16:E26)</f>
        <v>0</v>
      </c>
      <c r="F15" s="235">
        <f t="shared" si="4"/>
        <v>7</v>
      </c>
      <c r="G15" s="235">
        <f t="shared" si="4"/>
        <v>34</v>
      </c>
      <c r="H15" s="235">
        <f t="shared" si="4"/>
        <v>0</v>
      </c>
      <c r="I15" s="235">
        <f t="shared" si="4"/>
        <v>0</v>
      </c>
      <c r="J15" s="235">
        <f t="shared" si="4"/>
        <v>6</v>
      </c>
      <c r="K15" s="235">
        <f t="shared" si="4"/>
        <v>4</v>
      </c>
      <c r="L15" s="235">
        <f t="shared" si="4"/>
        <v>4</v>
      </c>
      <c r="M15" s="235">
        <f t="shared" si="4"/>
        <v>0</v>
      </c>
      <c r="N15" s="235">
        <f t="shared" si="4"/>
        <v>0</v>
      </c>
      <c r="O15" s="235">
        <f t="shared" si="4"/>
        <v>14</v>
      </c>
      <c r="P15" s="235">
        <f t="shared" si="4"/>
        <v>2</v>
      </c>
      <c r="Q15" s="235">
        <f t="shared" si="4"/>
        <v>14</v>
      </c>
      <c r="R15" s="235">
        <f t="shared" si="4"/>
        <v>0</v>
      </c>
      <c r="S15" s="235">
        <f t="shared" si="4"/>
        <v>12</v>
      </c>
      <c r="T15" s="235">
        <f t="shared" si="4"/>
        <v>1</v>
      </c>
      <c r="U15" s="234">
        <f>D15-'Báo cáo chất lượng CB Mẫu 14'!C16</f>
        <v>0</v>
      </c>
    </row>
    <row r="16" spans="1:21" s="231" customFormat="1" ht="15.75" customHeight="1">
      <c r="A16" s="239" t="s">
        <v>52</v>
      </c>
      <c r="B16" s="77" t="s">
        <v>377</v>
      </c>
      <c r="C16" s="235">
        <f t="shared" si="2"/>
        <v>9</v>
      </c>
      <c r="D16" s="235">
        <f t="shared" si="3"/>
        <v>8</v>
      </c>
      <c r="E16" s="240"/>
      <c r="F16" s="240"/>
      <c r="G16" s="240">
        <v>5</v>
      </c>
      <c r="H16" s="240"/>
      <c r="I16" s="240"/>
      <c r="J16" s="240"/>
      <c r="K16" s="240"/>
      <c r="L16" s="240"/>
      <c r="M16" s="240"/>
      <c r="N16" s="240"/>
      <c r="O16" s="240">
        <v>1</v>
      </c>
      <c r="P16" s="240"/>
      <c r="Q16" s="240">
        <v>1</v>
      </c>
      <c r="R16" s="240"/>
      <c r="S16" s="240">
        <v>1</v>
      </c>
      <c r="T16" s="240">
        <v>1</v>
      </c>
      <c r="U16" s="234">
        <f>D16-'Báo cáo chất lượng CB Mẫu 14'!C17</f>
        <v>0</v>
      </c>
    </row>
    <row r="17" spans="1:21" s="231" customFormat="1" ht="15.75" customHeight="1">
      <c r="A17" s="239" t="s">
        <v>53</v>
      </c>
      <c r="B17" s="77" t="s">
        <v>409</v>
      </c>
      <c r="C17" s="235">
        <f t="shared" si="2"/>
        <v>7</v>
      </c>
      <c r="D17" s="235">
        <f t="shared" si="3"/>
        <v>7</v>
      </c>
      <c r="E17" s="240"/>
      <c r="F17" s="240"/>
      <c r="G17" s="240">
        <v>3</v>
      </c>
      <c r="H17" s="240"/>
      <c r="I17" s="240"/>
      <c r="J17" s="240">
        <v>1</v>
      </c>
      <c r="K17" s="240"/>
      <c r="L17" s="240"/>
      <c r="M17" s="240"/>
      <c r="N17" s="240"/>
      <c r="O17" s="240">
        <v>1</v>
      </c>
      <c r="P17" s="240"/>
      <c r="Q17" s="240">
        <v>1</v>
      </c>
      <c r="R17" s="240"/>
      <c r="S17" s="240">
        <v>1</v>
      </c>
      <c r="T17" s="240">
        <v>0</v>
      </c>
      <c r="U17" s="234">
        <f>D17-'Báo cáo chất lượng CB Mẫu 14'!C18</f>
        <v>0</v>
      </c>
    </row>
    <row r="18" spans="1:21" s="231" customFormat="1" ht="15.75" customHeight="1">
      <c r="A18" s="239" t="s">
        <v>58</v>
      </c>
      <c r="B18" s="77" t="s">
        <v>380</v>
      </c>
      <c r="C18" s="235">
        <f t="shared" si="2"/>
        <v>14</v>
      </c>
      <c r="D18" s="235">
        <f t="shared" si="3"/>
        <v>14</v>
      </c>
      <c r="E18" s="240"/>
      <c r="F18" s="240"/>
      <c r="G18" s="240">
        <v>8</v>
      </c>
      <c r="H18" s="240"/>
      <c r="I18" s="240"/>
      <c r="J18" s="240">
        <v>1</v>
      </c>
      <c r="K18" s="240"/>
      <c r="L18" s="240">
        <v>1</v>
      </c>
      <c r="M18" s="240"/>
      <c r="N18" s="240"/>
      <c r="O18" s="240">
        <v>1</v>
      </c>
      <c r="P18" s="240"/>
      <c r="Q18" s="240">
        <v>2</v>
      </c>
      <c r="R18" s="240"/>
      <c r="S18" s="240">
        <v>1</v>
      </c>
      <c r="T18" s="240">
        <v>0</v>
      </c>
      <c r="U18" s="234">
        <f>D18-'Báo cáo chất lượng CB Mẫu 14'!C19</f>
        <v>0</v>
      </c>
    </row>
    <row r="19" spans="1:21" s="231" customFormat="1" ht="15.75" customHeight="1">
      <c r="A19" s="239" t="s">
        <v>73</v>
      </c>
      <c r="B19" s="77" t="s">
        <v>381</v>
      </c>
      <c r="C19" s="235">
        <f t="shared" si="2"/>
        <v>7</v>
      </c>
      <c r="D19" s="235">
        <f t="shared" si="3"/>
        <v>7</v>
      </c>
      <c r="E19" s="240"/>
      <c r="F19" s="240"/>
      <c r="G19" s="240">
        <v>2</v>
      </c>
      <c r="H19" s="240"/>
      <c r="I19" s="240"/>
      <c r="J19" s="240"/>
      <c r="K19" s="240">
        <v>1</v>
      </c>
      <c r="L19" s="240"/>
      <c r="M19" s="240"/>
      <c r="N19" s="240"/>
      <c r="O19" s="240">
        <v>1</v>
      </c>
      <c r="P19" s="240"/>
      <c r="Q19" s="240">
        <v>2</v>
      </c>
      <c r="R19" s="240"/>
      <c r="S19" s="240">
        <v>1</v>
      </c>
      <c r="T19" s="240">
        <v>0</v>
      </c>
      <c r="U19" s="234">
        <f>D19-'Báo cáo chất lượng CB Mẫu 14'!C20</f>
        <v>0</v>
      </c>
    </row>
    <row r="20" spans="1:21" s="231" customFormat="1" ht="17.25" customHeight="1">
      <c r="A20" s="239" t="s">
        <v>74</v>
      </c>
      <c r="B20" s="77" t="s">
        <v>382</v>
      </c>
      <c r="C20" s="235">
        <f t="shared" si="2"/>
        <v>8</v>
      </c>
      <c r="D20" s="235">
        <f t="shared" si="3"/>
        <v>8</v>
      </c>
      <c r="E20" s="240"/>
      <c r="F20" s="240">
        <v>1</v>
      </c>
      <c r="G20" s="240">
        <v>2</v>
      </c>
      <c r="H20" s="240"/>
      <c r="I20" s="240"/>
      <c r="J20" s="240"/>
      <c r="K20" s="240">
        <v>1</v>
      </c>
      <c r="L20" s="240">
        <v>1</v>
      </c>
      <c r="M20" s="240"/>
      <c r="N20" s="240"/>
      <c r="O20" s="240">
        <v>1</v>
      </c>
      <c r="P20" s="240"/>
      <c r="Q20" s="240">
        <v>1</v>
      </c>
      <c r="R20" s="240"/>
      <c r="S20" s="240">
        <v>1</v>
      </c>
      <c r="T20" s="240">
        <v>0</v>
      </c>
      <c r="U20" s="234">
        <f>D20-'Báo cáo chất lượng CB Mẫu 14'!C21</f>
        <v>0</v>
      </c>
    </row>
    <row r="21" spans="1:21" s="231" customFormat="1" ht="15.75" customHeight="1">
      <c r="A21" s="239" t="s">
        <v>75</v>
      </c>
      <c r="B21" s="77" t="s">
        <v>383</v>
      </c>
      <c r="C21" s="235">
        <f t="shared" si="2"/>
        <v>10</v>
      </c>
      <c r="D21" s="235">
        <f t="shared" si="3"/>
        <v>10</v>
      </c>
      <c r="E21" s="240"/>
      <c r="F21" s="240">
        <v>1</v>
      </c>
      <c r="G21" s="240">
        <v>2</v>
      </c>
      <c r="H21" s="240"/>
      <c r="I21" s="240"/>
      <c r="J21" s="240"/>
      <c r="K21" s="240">
        <v>1</v>
      </c>
      <c r="L21" s="240"/>
      <c r="M21" s="240"/>
      <c r="N21" s="240"/>
      <c r="O21" s="240">
        <v>4</v>
      </c>
      <c r="P21" s="240"/>
      <c r="Q21" s="240">
        <v>1</v>
      </c>
      <c r="R21" s="240"/>
      <c r="S21" s="240">
        <v>1</v>
      </c>
      <c r="T21" s="240">
        <v>0</v>
      </c>
      <c r="U21" s="234">
        <f>D21-'Báo cáo chất lượng CB Mẫu 14'!C22</f>
        <v>0</v>
      </c>
    </row>
    <row r="22" spans="1:21" s="231" customFormat="1" ht="15.75" customHeight="1">
      <c r="A22" s="239" t="s">
        <v>76</v>
      </c>
      <c r="B22" s="77" t="s">
        <v>388</v>
      </c>
      <c r="C22" s="235">
        <f t="shared" si="2"/>
        <v>7</v>
      </c>
      <c r="D22" s="235">
        <f t="shared" si="3"/>
        <v>7</v>
      </c>
      <c r="E22" s="240"/>
      <c r="F22" s="240">
        <v>1</v>
      </c>
      <c r="G22" s="240">
        <v>1</v>
      </c>
      <c r="H22" s="240"/>
      <c r="I22" s="240"/>
      <c r="J22" s="240"/>
      <c r="K22" s="240"/>
      <c r="L22" s="240"/>
      <c r="M22" s="240"/>
      <c r="N22" s="240"/>
      <c r="O22" s="240">
        <v>2</v>
      </c>
      <c r="P22" s="240"/>
      <c r="Q22" s="240">
        <v>1</v>
      </c>
      <c r="R22" s="240"/>
      <c r="S22" s="240">
        <v>2</v>
      </c>
      <c r="T22" s="240">
        <v>0</v>
      </c>
      <c r="U22" s="234">
        <f>D22-'Báo cáo chất lượng CB Mẫu 14'!C23</f>
        <v>0</v>
      </c>
    </row>
    <row r="23" spans="1:21" s="231" customFormat="1" ht="15.75" customHeight="1">
      <c r="A23" s="239" t="s">
        <v>77</v>
      </c>
      <c r="B23" s="77" t="s">
        <v>390</v>
      </c>
      <c r="C23" s="235">
        <f t="shared" si="2"/>
        <v>9</v>
      </c>
      <c r="D23" s="235">
        <f t="shared" si="3"/>
        <v>9</v>
      </c>
      <c r="E23" s="240"/>
      <c r="F23" s="240">
        <v>1</v>
      </c>
      <c r="G23" s="240">
        <v>1</v>
      </c>
      <c r="H23" s="240"/>
      <c r="I23" s="240"/>
      <c r="J23" s="240">
        <v>1</v>
      </c>
      <c r="K23" s="240">
        <v>1</v>
      </c>
      <c r="L23" s="240">
        <v>1</v>
      </c>
      <c r="M23" s="240"/>
      <c r="N23" s="240"/>
      <c r="O23" s="240">
        <v>1</v>
      </c>
      <c r="P23" s="240">
        <v>1</v>
      </c>
      <c r="Q23" s="240">
        <v>1</v>
      </c>
      <c r="R23" s="240"/>
      <c r="S23" s="240">
        <v>1</v>
      </c>
      <c r="T23" s="240">
        <v>0</v>
      </c>
      <c r="U23" s="234">
        <f>D23-'Báo cáo chất lượng CB Mẫu 14'!C24</f>
        <v>0</v>
      </c>
    </row>
    <row r="24" spans="1:21" s="231" customFormat="1" ht="15.75" customHeight="1">
      <c r="A24" s="239" t="s">
        <v>78</v>
      </c>
      <c r="B24" s="77" t="s">
        <v>391</v>
      </c>
      <c r="C24" s="235">
        <f t="shared" si="2"/>
        <v>11</v>
      </c>
      <c r="D24" s="235">
        <f t="shared" si="3"/>
        <v>11</v>
      </c>
      <c r="E24" s="240"/>
      <c r="F24" s="240">
        <v>1</v>
      </c>
      <c r="G24" s="240">
        <v>3</v>
      </c>
      <c r="H24" s="240"/>
      <c r="I24" s="240"/>
      <c r="J24" s="240">
        <v>1</v>
      </c>
      <c r="K24" s="240"/>
      <c r="L24" s="240">
        <v>1</v>
      </c>
      <c r="M24" s="240"/>
      <c r="N24" s="240"/>
      <c r="O24" s="240">
        <v>1</v>
      </c>
      <c r="P24" s="240">
        <v>1</v>
      </c>
      <c r="Q24" s="240">
        <v>2</v>
      </c>
      <c r="R24" s="240"/>
      <c r="S24" s="240">
        <v>1</v>
      </c>
      <c r="T24" s="240">
        <v>0</v>
      </c>
      <c r="U24" s="234">
        <f>D24-'Báo cáo chất lượng CB Mẫu 14'!C25</f>
        <v>0</v>
      </c>
    </row>
    <row r="25" spans="1:21" s="231" customFormat="1" ht="15.75" customHeight="1">
      <c r="A25" s="239" t="s">
        <v>101</v>
      </c>
      <c r="B25" s="77" t="s">
        <v>392</v>
      </c>
      <c r="C25" s="235">
        <f t="shared" si="2"/>
        <v>8</v>
      </c>
      <c r="D25" s="235">
        <f t="shared" si="3"/>
        <v>8</v>
      </c>
      <c r="E25" s="240"/>
      <c r="F25" s="240">
        <v>1</v>
      </c>
      <c r="G25" s="240">
        <v>3</v>
      </c>
      <c r="H25" s="240"/>
      <c r="I25" s="240"/>
      <c r="J25" s="240">
        <v>1</v>
      </c>
      <c r="K25" s="240"/>
      <c r="L25" s="240"/>
      <c r="M25" s="240"/>
      <c r="N25" s="240"/>
      <c r="O25" s="240">
        <v>1</v>
      </c>
      <c r="P25" s="240"/>
      <c r="Q25" s="240">
        <v>1</v>
      </c>
      <c r="R25" s="240"/>
      <c r="S25" s="240">
        <v>1</v>
      </c>
      <c r="T25" s="240">
        <v>0</v>
      </c>
      <c r="U25" s="234">
        <f>D25-'Báo cáo chất lượng CB Mẫu 14'!C26</f>
        <v>0</v>
      </c>
    </row>
    <row r="26" spans="1:21" s="231" customFormat="1" ht="15.75" customHeight="1">
      <c r="A26" s="239" t="s">
        <v>102</v>
      </c>
      <c r="B26" s="77" t="s">
        <v>394</v>
      </c>
      <c r="C26" s="235">
        <f t="shared" si="2"/>
        <v>8</v>
      </c>
      <c r="D26" s="235">
        <f t="shared" si="3"/>
        <v>8</v>
      </c>
      <c r="E26" s="240"/>
      <c r="F26" s="240">
        <v>1</v>
      </c>
      <c r="G26" s="240">
        <v>4</v>
      </c>
      <c r="H26" s="240"/>
      <c r="I26" s="240"/>
      <c r="J26" s="240">
        <v>1</v>
      </c>
      <c r="K26" s="240"/>
      <c r="L26" s="240"/>
      <c r="M26" s="240"/>
      <c r="N26" s="240"/>
      <c r="O26" s="240"/>
      <c r="P26" s="240"/>
      <c r="Q26" s="240">
        <v>1</v>
      </c>
      <c r="R26" s="240"/>
      <c r="S26" s="240">
        <v>1</v>
      </c>
      <c r="T26" s="240">
        <v>0</v>
      </c>
      <c r="U26" s="234">
        <f>D26-'Báo cáo chất lượng CB Mẫu 14'!C27</f>
        <v>0</v>
      </c>
    </row>
    <row r="27" ht="6" customHeight="1"/>
    <row r="28" spans="1:20" s="242" customFormat="1" ht="15.75" customHeight="1">
      <c r="A28" s="241"/>
      <c r="B28" s="1312" t="s">
        <v>395</v>
      </c>
      <c r="C28" s="1312"/>
      <c r="D28" s="1312"/>
      <c r="E28" s="1312"/>
      <c r="F28" s="190"/>
      <c r="G28" s="190"/>
      <c r="H28" s="190"/>
      <c r="I28" s="190"/>
      <c r="J28" s="190"/>
      <c r="K28" s="190" t="s">
        <v>249</v>
      </c>
      <c r="L28" s="191"/>
      <c r="M28" s="1317" t="s">
        <v>430</v>
      </c>
      <c r="N28" s="1317"/>
      <c r="O28" s="1317"/>
      <c r="P28" s="1317"/>
      <c r="Q28" s="1317"/>
      <c r="R28" s="1317"/>
      <c r="S28" s="1317"/>
      <c r="T28" s="1317"/>
    </row>
    <row r="29" spans="1:20" s="242" customFormat="1" ht="18.75" customHeight="1">
      <c r="A29" s="241"/>
      <c r="B29" s="1302" t="s">
        <v>250</v>
      </c>
      <c r="C29" s="1302"/>
      <c r="D29" s="1302"/>
      <c r="E29" s="243"/>
      <c r="F29" s="192"/>
      <c r="G29" s="192"/>
      <c r="H29" s="192"/>
      <c r="I29" s="192"/>
      <c r="J29" s="192"/>
      <c r="K29" s="192"/>
      <c r="L29" s="191"/>
      <c r="M29" s="1305" t="s">
        <v>419</v>
      </c>
      <c r="N29" s="1305"/>
      <c r="O29" s="1305"/>
      <c r="P29" s="1305"/>
      <c r="Q29" s="1305"/>
      <c r="R29" s="1305"/>
      <c r="S29" s="1305"/>
      <c r="T29" s="1305"/>
    </row>
    <row r="30" spans="1:20" s="242" customFormat="1" ht="18.75">
      <c r="A30" s="193"/>
      <c r="B30" s="1299"/>
      <c r="C30" s="1299"/>
      <c r="D30" s="1299"/>
      <c r="E30" s="195"/>
      <c r="F30" s="195"/>
      <c r="G30" s="195"/>
      <c r="H30" s="195"/>
      <c r="I30" s="195"/>
      <c r="J30" s="195"/>
      <c r="K30" s="195"/>
      <c r="L30" s="195"/>
      <c r="M30" s="1300"/>
      <c r="N30" s="1300"/>
      <c r="O30" s="1300"/>
      <c r="P30" s="1300"/>
      <c r="Q30" s="1300"/>
      <c r="R30" s="1300"/>
      <c r="S30" s="1300"/>
      <c r="T30" s="1300"/>
    </row>
    <row r="31" spans="1:20" s="242" customFormat="1" ht="18.75">
      <c r="A31" s="193"/>
      <c r="B31" s="195"/>
      <c r="C31" s="195"/>
      <c r="D31" s="195"/>
      <c r="E31" s="195"/>
      <c r="F31" s="195"/>
      <c r="G31" s="195"/>
      <c r="H31" s="195"/>
      <c r="I31" s="195"/>
      <c r="J31" s="195"/>
      <c r="K31" s="195"/>
      <c r="L31" s="195"/>
      <c r="M31" s="195"/>
      <c r="N31" s="195"/>
      <c r="O31" s="195"/>
      <c r="P31" s="195"/>
      <c r="Q31" s="191"/>
      <c r="R31" s="191"/>
      <c r="S31" s="191"/>
      <c r="T31" s="191"/>
    </row>
    <row r="32" spans="2:20" ht="13.5" customHeight="1" hidden="1">
      <c r="B32" s="195"/>
      <c r="C32" s="195"/>
      <c r="D32" s="195"/>
      <c r="E32" s="195"/>
      <c r="F32" s="195"/>
      <c r="G32" s="195"/>
      <c r="H32" s="195"/>
      <c r="I32" s="195"/>
      <c r="J32" s="195"/>
      <c r="K32" s="195"/>
      <c r="L32" s="195"/>
      <c r="M32" s="195"/>
      <c r="N32" s="195"/>
      <c r="O32" s="195"/>
      <c r="P32" s="195"/>
      <c r="Q32" s="195"/>
      <c r="R32" s="195"/>
      <c r="S32" s="195"/>
      <c r="T32" s="195"/>
    </row>
    <row r="33" spans="1:20" ht="18.75" hidden="1">
      <c r="A33" s="244" t="s">
        <v>252</v>
      </c>
      <c r="B33" s="195"/>
      <c r="C33" s="195"/>
      <c r="D33" s="195"/>
      <c r="E33" s="195"/>
      <c r="F33" s="195"/>
      <c r="G33" s="195"/>
      <c r="H33" s="195"/>
      <c r="I33" s="195"/>
      <c r="J33" s="195"/>
      <c r="K33" s="195"/>
      <c r="L33" s="195"/>
      <c r="M33" s="195"/>
      <c r="N33" s="195"/>
      <c r="O33" s="195"/>
      <c r="P33" s="195"/>
      <c r="Q33" s="195"/>
      <c r="R33" s="195"/>
      <c r="S33" s="195"/>
      <c r="T33" s="195"/>
    </row>
    <row r="34" spans="2:20" ht="18.75" hidden="1">
      <c r="B34" s="245" t="s">
        <v>253</v>
      </c>
      <c r="C34" s="195"/>
      <c r="D34" s="195"/>
      <c r="E34" s="195"/>
      <c r="F34" s="195"/>
      <c r="G34" s="195"/>
      <c r="H34" s="195"/>
      <c r="I34" s="195"/>
      <c r="J34" s="195"/>
      <c r="K34" s="195"/>
      <c r="L34" s="195"/>
      <c r="M34" s="195"/>
      <c r="N34" s="195"/>
      <c r="O34" s="195"/>
      <c r="P34" s="195"/>
      <c r="Q34" s="195"/>
      <c r="R34" s="195"/>
      <c r="S34" s="195"/>
      <c r="T34" s="195"/>
    </row>
    <row r="35" spans="2:20" ht="18.75" hidden="1">
      <c r="B35" s="245" t="s">
        <v>254</v>
      </c>
      <c r="C35" s="195"/>
      <c r="D35" s="195"/>
      <c r="E35" s="195"/>
      <c r="F35" s="195"/>
      <c r="G35" s="195"/>
      <c r="H35" s="195"/>
      <c r="I35" s="195"/>
      <c r="J35" s="195"/>
      <c r="K35" s="195"/>
      <c r="L35" s="195"/>
      <c r="M35" s="195"/>
      <c r="N35" s="195"/>
      <c r="O35" s="195"/>
      <c r="P35" s="195"/>
      <c r="Q35" s="195"/>
      <c r="R35" s="195"/>
      <c r="S35" s="195"/>
      <c r="T35" s="195"/>
    </row>
    <row r="36" spans="2:20" s="220" customFormat="1" ht="18.75">
      <c r="B36" s="1301" t="s">
        <v>399</v>
      </c>
      <c r="C36" s="1301"/>
      <c r="D36" s="1301"/>
      <c r="E36" s="245"/>
      <c r="F36" s="245"/>
      <c r="G36" s="245"/>
      <c r="H36" s="245"/>
      <c r="I36" s="245"/>
      <c r="J36" s="245"/>
      <c r="K36" s="245"/>
      <c r="L36" s="245"/>
      <c r="M36" s="245"/>
      <c r="N36" s="1301" t="s">
        <v>399</v>
      </c>
      <c r="O36" s="1301"/>
      <c r="P36" s="1301"/>
      <c r="Q36" s="1301"/>
      <c r="R36" s="1301"/>
      <c r="S36" s="1301"/>
      <c r="T36" s="245"/>
    </row>
    <row r="37" spans="2:20" ht="18.75">
      <c r="B37" s="195"/>
      <c r="C37" s="195"/>
      <c r="D37" s="195"/>
      <c r="E37" s="195"/>
      <c r="F37" s="195"/>
      <c r="G37" s="195"/>
      <c r="H37" s="195"/>
      <c r="I37" s="195"/>
      <c r="J37" s="195"/>
      <c r="K37" s="195"/>
      <c r="L37" s="195"/>
      <c r="M37" s="195"/>
      <c r="N37" s="195"/>
      <c r="O37" s="195"/>
      <c r="P37" s="195"/>
      <c r="Q37" s="195"/>
      <c r="R37" s="195"/>
      <c r="S37" s="195"/>
      <c r="T37" s="195"/>
    </row>
    <row r="38" spans="2:21" ht="18.75">
      <c r="B38" s="1205" t="s">
        <v>352</v>
      </c>
      <c r="C38" s="1205"/>
      <c r="D38" s="1205"/>
      <c r="E38" s="219"/>
      <c r="F38" s="219"/>
      <c r="G38" s="219"/>
      <c r="H38" s="219"/>
      <c r="I38" s="191"/>
      <c r="J38" s="191"/>
      <c r="K38" s="191"/>
      <c r="L38" s="191"/>
      <c r="M38" s="1206" t="s">
        <v>353</v>
      </c>
      <c r="N38" s="1206"/>
      <c r="O38" s="1206"/>
      <c r="P38" s="1206"/>
      <c r="Q38" s="1206"/>
      <c r="R38" s="1206"/>
      <c r="S38" s="1206"/>
      <c r="T38" s="1206"/>
      <c r="U38" s="172"/>
    </row>
    <row r="39" spans="2:20" ht="18.75">
      <c r="B39" s="195"/>
      <c r="C39" s="195"/>
      <c r="D39" s="195"/>
      <c r="E39" s="195"/>
      <c r="F39" s="195"/>
      <c r="G39" s="195"/>
      <c r="H39" s="195"/>
      <c r="I39" s="195"/>
      <c r="J39" s="195"/>
      <c r="K39" s="195"/>
      <c r="L39" s="195"/>
      <c r="M39" s="195"/>
      <c r="N39" s="195"/>
      <c r="O39" s="195"/>
      <c r="P39" s="195"/>
      <c r="Q39" s="195"/>
      <c r="R39" s="195"/>
      <c r="S39" s="195"/>
      <c r="T39" s="195"/>
    </row>
    <row r="40" spans="2:20" ht="18.75">
      <c r="B40" s="195"/>
      <c r="C40" s="195"/>
      <c r="D40" s="195"/>
      <c r="E40" s="195"/>
      <c r="F40" s="195"/>
      <c r="G40" s="195"/>
      <c r="H40" s="195"/>
      <c r="I40" s="195"/>
      <c r="J40" s="195"/>
      <c r="K40" s="195"/>
      <c r="L40" s="195"/>
      <c r="M40" s="195"/>
      <c r="N40" s="195"/>
      <c r="O40" s="195"/>
      <c r="P40" s="195"/>
      <c r="Q40" s="195"/>
      <c r="R40" s="195"/>
      <c r="S40" s="195"/>
      <c r="T40" s="195"/>
    </row>
  </sheetData>
  <sheetProtection/>
  <mergeCells count="37">
    <mergeCell ref="U8:U11"/>
    <mergeCell ref="A3:C3"/>
    <mergeCell ref="A10:B10"/>
    <mergeCell ref="B28:E28"/>
    <mergeCell ref="E7:S7"/>
    <mergeCell ref="R8:R9"/>
    <mergeCell ref="D7:D9"/>
    <mergeCell ref="D4:N4"/>
    <mergeCell ref="M28:T28"/>
    <mergeCell ref="T6:T9"/>
    <mergeCell ref="A12:B12"/>
    <mergeCell ref="B38:D38"/>
    <mergeCell ref="M38:T38"/>
    <mergeCell ref="B30:D30"/>
    <mergeCell ref="M30:T30"/>
    <mergeCell ref="B36:D36"/>
    <mergeCell ref="N36:S36"/>
    <mergeCell ref="B29:D29"/>
    <mergeCell ref="A13:B13"/>
    <mergeCell ref="M29:T29"/>
    <mergeCell ref="P2:T2"/>
    <mergeCell ref="A6:B9"/>
    <mergeCell ref="D1:N2"/>
    <mergeCell ref="A2:C2"/>
    <mergeCell ref="D6:S6"/>
    <mergeCell ref="A1:C1"/>
    <mergeCell ref="D3:N3"/>
    <mergeCell ref="A4:C4"/>
    <mergeCell ref="S8:S9"/>
    <mergeCell ref="H8:J8"/>
    <mergeCell ref="C6:C9"/>
    <mergeCell ref="A11:B11"/>
    <mergeCell ref="Q8:Q9"/>
    <mergeCell ref="M8:O8"/>
    <mergeCell ref="P8:P9"/>
    <mergeCell ref="E8:G8"/>
    <mergeCell ref="K8:L8"/>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205" customWidth="1"/>
    <col min="2" max="2" width="17.25390625" style="205" customWidth="1"/>
    <col min="3" max="3" width="9.625" style="205" customWidth="1"/>
    <col min="4" max="5" width="5.625" style="205" customWidth="1"/>
    <col min="6" max="7" width="6.25390625" style="205" customWidth="1"/>
    <col min="8" max="8" width="5.625" style="205" customWidth="1"/>
    <col min="9" max="9" width="6.00390625" style="205" customWidth="1"/>
    <col min="10" max="10" width="6.125" style="205" customWidth="1"/>
    <col min="11" max="12" width="5.625" style="205" customWidth="1"/>
    <col min="13" max="13" width="6.125" style="205" customWidth="1"/>
    <col min="14" max="15" width="6.25390625" style="205" customWidth="1"/>
    <col min="16" max="18" width="5.625" style="205" customWidth="1"/>
    <col min="19" max="19" width="5.875" style="205" customWidth="1"/>
    <col min="20" max="20" width="5.625" style="205" customWidth="1"/>
    <col min="21" max="28" width="8.00390625" style="205" customWidth="1"/>
    <col min="29" max="29" width="8.375" style="205" customWidth="1"/>
    <col min="30" max="30" width="8.00390625" style="205" customWidth="1"/>
    <col min="31" max="31" width="11.25390625" style="205" customWidth="1"/>
    <col min="32" max="32" width="13.50390625" style="205" customWidth="1"/>
    <col min="33" max="16384" width="8.00390625" style="205" customWidth="1"/>
  </cols>
  <sheetData>
    <row r="1" spans="1:20" ht="16.5">
      <c r="A1" s="1325" t="s">
        <v>255</v>
      </c>
      <c r="B1" s="1325"/>
      <c r="C1" s="1325"/>
      <c r="D1" s="247"/>
      <c r="E1" s="1330" t="s">
        <v>256</v>
      </c>
      <c r="F1" s="1330"/>
      <c r="G1" s="1330"/>
      <c r="H1" s="1330"/>
      <c r="I1" s="1330"/>
      <c r="J1" s="1330"/>
      <c r="K1" s="1330"/>
      <c r="L1" s="1330"/>
      <c r="M1" s="1330"/>
      <c r="N1" s="1330"/>
      <c r="O1" s="200"/>
      <c r="P1" s="1321" t="s">
        <v>469</v>
      </c>
      <c r="Q1" s="1321"/>
      <c r="R1" s="1321"/>
      <c r="S1" s="1321"/>
      <c r="T1" s="1321"/>
    </row>
    <row r="2" spans="1:20" ht="15.75" customHeight="1">
      <c r="A2" s="1326" t="s">
        <v>431</v>
      </c>
      <c r="B2" s="1326"/>
      <c r="C2" s="1326"/>
      <c r="D2" s="1326"/>
      <c r="E2" s="1328" t="s">
        <v>257</v>
      </c>
      <c r="F2" s="1328"/>
      <c r="G2" s="1328"/>
      <c r="H2" s="1328"/>
      <c r="I2" s="1328"/>
      <c r="J2" s="1328"/>
      <c r="K2" s="1328"/>
      <c r="L2" s="1328"/>
      <c r="M2" s="1328"/>
      <c r="N2" s="1328"/>
      <c r="O2" s="203"/>
      <c r="P2" s="1322" t="s">
        <v>411</v>
      </c>
      <c r="Q2" s="1322"/>
      <c r="R2" s="1322"/>
      <c r="S2" s="1322"/>
      <c r="T2" s="1322"/>
    </row>
    <row r="3" spans="1:20" ht="17.25">
      <c r="A3" s="1326" t="s">
        <v>362</v>
      </c>
      <c r="B3" s="1326"/>
      <c r="C3" s="1326"/>
      <c r="D3" s="248"/>
      <c r="E3" s="1331" t="s">
        <v>363</v>
      </c>
      <c r="F3" s="1331"/>
      <c r="G3" s="1331"/>
      <c r="H3" s="1331"/>
      <c r="I3" s="1331"/>
      <c r="J3" s="1331"/>
      <c r="K3" s="1331"/>
      <c r="L3" s="1331"/>
      <c r="M3" s="1331"/>
      <c r="N3" s="1331"/>
      <c r="O3" s="203"/>
      <c r="P3" s="1323" t="s">
        <v>470</v>
      </c>
      <c r="Q3" s="1323"/>
      <c r="R3" s="1323"/>
      <c r="S3" s="1323"/>
      <c r="T3" s="1323"/>
    </row>
    <row r="4" spans="1:20" ht="18.75" customHeight="1">
      <c r="A4" s="1327" t="s">
        <v>364</v>
      </c>
      <c r="B4" s="1327"/>
      <c r="C4" s="1327"/>
      <c r="D4" s="1329"/>
      <c r="E4" s="1329"/>
      <c r="F4" s="1329"/>
      <c r="G4" s="1329"/>
      <c r="H4" s="1329"/>
      <c r="I4" s="1329"/>
      <c r="J4" s="1329"/>
      <c r="K4" s="1329"/>
      <c r="L4" s="1329"/>
      <c r="M4" s="1329"/>
      <c r="N4" s="1329"/>
      <c r="O4" s="204"/>
      <c r="P4" s="1322" t="s">
        <v>403</v>
      </c>
      <c r="Q4" s="1323"/>
      <c r="R4" s="1323"/>
      <c r="S4" s="1323"/>
      <c r="T4" s="1323"/>
    </row>
    <row r="5" spans="1:23" ht="15">
      <c r="A5" s="217"/>
      <c r="B5" s="217"/>
      <c r="C5" s="249"/>
      <c r="D5" s="249"/>
      <c r="E5" s="217"/>
      <c r="F5" s="217"/>
      <c r="G5" s="217"/>
      <c r="H5" s="217"/>
      <c r="I5" s="217"/>
      <c r="J5" s="217"/>
      <c r="K5" s="217"/>
      <c r="L5" s="217"/>
      <c r="P5" s="1341" t="s">
        <v>426</v>
      </c>
      <c r="Q5" s="1341"/>
      <c r="R5" s="1341"/>
      <c r="S5" s="1341"/>
      <c r="T5" s="1341"/>
      <c r="U5" s="250"/>
      <c r="V5" s="250"/>
      <c r="W5" s="250"/>
    </row>
    <row r="6" spans="1:23" ht="29.25" customHeight="1">
      <c r="A6" s="1282" t="s">
        <v>72</v>
      </c>
      <c r="B6" s="1358"/>
      <c r="C6" s="1353" t="s">
        <v>2</v>
      </c>
      <c r="D6" s="1342" t="s">
        <v>258</v>
      </c>
      <c r="E6" s="1343"/>
      <c r="F6" s="1343"/>
      <c r="G6" s="1343"/>
      <c r="H6" s="1343"/>
      <c r="I6" s="1343"/>
      <c r="J6" s="1344"/>
      <c r="K6" s="1347" t="s">
        <v>259</v>
      </c>
      <c r="L6" s="1348"/>
      <c r="M6" s="1348"/>
      <c r="N6" s="1348"/>
      <c r="O6" s="1348"/>
      <c r="P6" s="1348"/>
      <c r="Q6" s="1348"/>
      <c r="R6" s="1348"/>
      <c r="S6" s="1348"/>
      <c r="T6" s="1349"/>
      <c r="U6" s="251"/>
      <c r="V6" s="252"/>
      <c r="W6" s="252"/>
    </row>
    <row r="7" spans="1:20" ht="19.5" customHeight="1">
      <c r="A7" s="1284"/>
      <c r="B7" s="1359"/>
      <c r="C7" s="1354"/>
      <c r="D7" s="1343" t="s">
        <v>7</v>
      </c>
      <c r="E7" s="1343"/>
      <c r="F7" s="1343"/>
      <c r="G7" s="1343"/>
      <c r="H7" s="1343"/>
      <c r="I7" s="1343"/>
      <c r="J7" s="1344"/>
      <c r="K7" s="1350"/>
      <c r="L7" s="1351"/>
      <c r="M7" s="1351"/>
      <c r="N7" s="1351"/>
      <c r="O7" s="1351"/>
      <c r="P7" s="1351"/>
      <c r="Q7" s="1351"/>
      <c r="R7" s="1351"/>
      <c r="S7" s="1351"/>
      <c r="T7" s="1352"/>
    </row>
    <row r="8" spans="1:20" ht="33" customHeight="1">
      <c r="A8" s="1284"/>
      <c r="B8" s="1359"/>
      <c r="C8" s="1354"/>
      <c r="D8" s="1334" t="s">
        <v>260</v>
      </c>
      <c r="E8" s="1335"/>
      <c r="F8" s="1318" t="s">
        <v>261</v>
      </c>
      <c r="G8" s="1335"/>
      <c r="H8" s="1318" t="s">
        <v>262</v>
      </c>
      <c r="I8" s="1335"/>
      <c r="J8" s="1318" t="s">
        <v>263</v>
      </c>
      <c r="K8" s="1320" t="s">
        <v>264</v>
      </c>
      <c r="L8" s="1320"/>
      <c r="M8" s="1320"/>
      <c r="N8" s="1320" t="s">
        <v>265</v>
      </c>
      <c r="O8" s="1320"/>
      <c r="P8" s="1320"/>
      <c r="Q8" s="1318" t="s">
        <v>266</v>
      </c>
      <c r="R8" s="1319" t="s">
        <v>267</v>
      </c>
      <c r="S8" s="1319" t="s">
        <v>268</v>
      </c>
      <c r="T8" s="1318" t="s">
        <v>269</v>
      </c>
    </row>
    <row r="9" spans="1:20" ht="18.75" customHeight="1">
      <c r="A9" s="1284"/>
      <c r="B9" s="1359"/>
      <c r="C9" s="1354"/>
      <c r="D9" s="1334" t="s">
        <v>270</v>
      </c>
      <c r="E9" s="1318" t="s">
        <v>271</v>
      </c>
      <c r="F9" s="1318" t="s">
        <v>270</v>
      </c>
      <c r="G9" s="1318" t="s">
        <v>271</v>
      </c>
      <c r="H9" s="1318" t="s">
        <v>270</v>
      </c>
      <c r="I9" s="1318" t="s">
        <v>272</v>
      </c>
      <c r="J9" s="1318"/>
      <c r="K9" s="1320"/>
      <c r="L9" s="1320"/>
      <c r="M9" s="1320"/>
      <c r="N9" s="1320"/>
      <c r="O9" s="1320"/>
      <c r="P9" s="1320"/>
      <c r="Q9" s="1318"/>
      <c r="R9" s="1319"/>
      <c r="S9" s="1319"/>
      <c r="T9" s="1318"/>
    </row>
    <row r="10" spans="1:20" ht="23.25" customHeight="1">
      <c r="A10" s="1286"/>
      <c r="B10" s="1360"/>
      <c r="C10" s="1355"/>
      <c r="D10" s="1334"/>
      <c r="E10" s="1318"/>
      <c r="F10" s="1318"/>
      <c r="G10" s="1318"/>
      <c r="H10" s="1318"/>
      <c r="I10" s="1318"/>
      <c r="J10" s="1318"/>
      <c r="K10" s="253" t="s">
        <v>273</v>
      </c>
      <c r="L10" s="253" t="s">
        <v>248</v>
      </c>
      <c r="M10" s="253" t="s">
        <v>274</v>
      </c>
      <c r="N10" s="253" t="s">
        <v>273</v>
      </c>
      <c r="O10" s="253" t="s">
        <v>275</v>
      </c>
      <c r="P10" s="253" t="s">
        <v>276</v>
      </c>
      <c r="Q10" s="1318"/>
      <c r="R10" s="1319"/>
      <c r="S10" s="1319"/>
      <c r="T10" s="1318"/>
    </row>
    <row r="11" spans="1:32" s="210" customFormat="1" ht="17.25" customHeight="1">
      <c r="A11" s="1356" t="s">
        <v>6</v>
      </c>
      <c r="B11" s="1357"/>
      <c r="C11" s="254">
        <v>1</v>
      </c>
      <c r="D11" s="255">
        <v>2</v>
      </c>
      <c r="E11" s="255">
        <v>3</v>
      </c>
      <c r="F11" s="255">
        <v>4</v>
      </c>
      <c r="G11" s="255">
        <v>5</v>
      </c>
      <c r="H11" s="255">
        <v>6</v>
      </c>
      <c r="I11" s="255">
        <v>7</v>
      </c>
      <c r="J11" s="255">
        <v>8</v>
      </c>
      <c r="K11" s="255">
        <v>9</v>
      </c>
      <c r="L11" s="255">
        <v>10</v>
      </c>
      <c r="M11" s="255">
        <v>11</v>
      </c>
      <c r="N11" s="255">
        <v>12</v>
      </c>
      <c r="O11" s="255">
        <v>13</v>
      </c>
      <c r="P11" s="255">
        <v>14</v>
      </c>
      <c r="Q11" s="256">
        <v>15</v>
      </c>
      <c r="R11" s="256">
        <v>16</v>
      </c>
      <c r="S11" s="256">
        <v>17</v>
      </c>
      <c r="T11" s="256">
        <v>18</v>
      </c>
      <c r="AF11" s="210">
        <f>AC14-AC15</f>
        <v>0</v>
      </c>
    </row>
    <row r="12" spans="1:20" s="210" customFormat="1" ht="17.25" customHeight="1">
      <c r="A12" s="1345" t="s">
        <v>432</v>
      </c>
      <c r="B12" s="1346"/>
      <c r="C12" s="257">
        <f aca="true" t="shared" si="0" ref="C12:T12">C14-C13</f>
        <v>0</v>
      </c>
      <c r="D12" s="257">
        <f t="shared" si="0"/>
        <v>0</v>
      </c>
      <c r="E12" s="257">
        <f t="shared" si="0"/>
        <v>0</v>
      </c>
      <c r="F12" s="257">
        <f t="shared" si="0"/>
        <v>-2</v>
      </c>
      <c r="G12" s="257">
        <f t="shared" si="0"/>
        <v>-4</v>
      </c>
      <c r="H12" s="257">
        <f t="shared" si="0"/>
        <v>5</v>
      </c>
      <c r="I12" s="257">
        <f t="shared" si="0"/>
        <v>4</v>
      </c>
      <c r="J12" s="257">
        <f t="shared" si="0"/>
        <v>-3</v>
      </c>
      <c r="K12" s="257">
        <f t="shared" si="0"/>
        <v>0</v>
      </c>
      <c r="L12" s="257">
        <f t="shared" si="0"/>
        <v>7</v>
      </c>
      <c r="M12" s="257">
        <f t="shared" si="0"/>
        <v>11</v>
      </c>
      <c r="N12" s="257">
        <f t="shared" si="0"/>
        <v>2</v>
      </c>
      <c r="O12" s="257">
        <f t="shared" si="0"/>
        <v>5</v>
      </c>
      <c r="P12" s="257">
        <f t="shared" si="0"/>
        <v>-73</v>
      </c>
      <c r="Q12" s="257">
        <f t="shared" si="0"/>
        <v>4</v>
      </c>
      <c r="R12" s="257">
        <f t="shared" si="0"/>
        <v>0</v>
      </c>
      <c r="S12" s="257">
        <f t="shared" si="0"/>
        <v>-3</v>
      </c>
      <c r="T12" s="257">
        <f t="shared" si="0"/>
        <v>37</v>
      </c>
    </row>
    <row r="13" spans="1:20" s="210" customFormat="1" ht="17.25" customHeight="1">
      <c r="A13" s="1332" t="s">
        <v>408</v>
      </c>
      <c r="B13" s="1333"/>
      <c r="C13" s="258">
        <v>122</v>
      </c>
      <c r="D13" s="258">
        <v>0</v>
      </c>
      <c r="E13" s="258">
        <v>0</v>
      </c>
      <c r="F13" s="258">
        <v>90</v>
      </c>
      <c r="G13" s="258">
        <v>13</v>
      </c>
      <c r="H13" s="258">
        <v>3</v>
      </c>
      <c r="I13" s="258">
        <v>10</v>
      </c>
      <c r="J13" s="258">
        <v>6</v>
      </c>
      <c r="K13" s="258">
        <v>0</v>
      </c>
      <c r="L13" s="258">
        <v>5</v>
      </c>
      <c r="M13" s="258">
        <v>67</v>
      </c>
      <c r="N13" s="258">
        <v>7</v>
      </c>
      <c r="O13" s="258">
        <v>10</v>
      </c>
      <c r="P13" s="258">
        <v>89</v>
      </c>
      <c r="Q13" s="258">
        <v>46</v>
      </c>
      <c r="R13" s="258">
        <v>8</v>
      </c>
      <c r="S13" s="258">
        <v>14</v>
      </c>
      <c r="T13" s="258">
        <v>16</v>
      </c>
    </row>
    <row r="14" spans="1:37" s="210" customFormat="1" ht="19.5" customHeight="1">
      <c r="A14" s="1340" t="s">
        <v>277</v>
      </c>
      <c r="B14" s="1334"/>
      <c r="C14" s="259">
        <f>C15+C16</f>
        <v>122</v>
      </c>
      <c r="D14" s="259">
        <f>D15+D16</f>
        <v>0</v>
      </c>
      <c r="E14" s="259">
        <f>E20+E31+E35+E41+E52+E58+E61+E65+E69+E73+E81+E88</f>
        <v>0</v>
      </c>
      <c r="F14" s="259">
        <f aca="true" t="shared" si="1" ref="F14:T14">F15+F16</f>
        <v>88</v>
      </c>
      <c r="G14" s="259">
        <f t="shared" si="1"/>
        <v>9</v>
      </c>
      <c r="H14" s="259">
        <f t="shared" si="1"/>
        <v>8</v>
      </c>
      <c r="I14" s="259">
        <f t="shared" si="1"/>
        <v>14</v>
      </c>
      <c r="J14" s="259">
        <f t="shared" si="1"/>
        <v>3</v>
      </c>
      <c r="K14" s="259">
        <f t="shared" si="1"/>
        <v>0</v>
      </c>
      <c r="L14" s="259">
        <f t="shared" si="1"/>
        <v>12</v>
      </c>
      <c r="M14" s="259">
        <f t="shared" si="1"/>
        <v>78</v>
      </c>
      <c r="N14" s="259">
        <f t="shared" si="1"/>
        <v>9</v>
      </c>
      <c r="O14" s="259">
        <f t="shared" si="1"/>
        <v>15</v>
      </c>
      <c r="P14" s="259">
        <f t="shared" si="1"/>
        <v>16</v>
      </c>
      <c r="Q14" s="259">
        <f t="shared" si="1"/>
        <v>50</v>
      </c>
      <c r="R14" s="259">
        <f t="shared" si="1"/>
        <v>8</v>
      </c>
      <c r="S14" s="259">
        <f t="shared" si="1"/>
        <v>11</v>
      </c>
      <c r="T14" s="259">
        <f t="shared" si="1"/>
        <v>53</v>
      </c>
      <c r="AK14" s="208"/>
    </row>
    <row r="15" spans="1:20" s="210" customFormat="1" ht="17.25" customHeight="1">
      <c r="A15" s="206" t="s">
        <v>0</v>
      </c>
      <c r="B15" s="207" t="s">
        <v>98</v>
      </c>
      <c r="C15" s="260">
        <f>D15+E15+F15+G15+H15+I15+J15</f>
        <v>25</v>
      </c>
      <c r="D15" s="261"/>
      <c r="E15" s="261"/>
      <c r="F15" s="261">
        <v>19</v>
      </c>
      <c r="G15" s="262">
        <v>2</v>
      </c>
      <c r="H15" s="261"/>
      <c r="I15" s="262">
        <v>3</v>
      </c>
      <c r="J15" s="262">
        <v>1</v>
      </c>
      <c r="K15" s="262"/>
      <c r="L15" s="262">
        <v>5</v>
      </c>
      <c r="M15" s="261">
        <v>17</v>
      </c>
      <c r="N15" s="261">
        <v>6</v>
      </c>
      <c r="O15" s="261"/>
      <c r="P15" s="261"/>
      <c r="Q15" s="261">
        <v>9</v>
      </c>
      <c r="R15" s="261">
        <v>2</v>
      </c>
      <c r="S15" s="261">
        <v>3</v>
      </c>
      <c r="T15" s="261">
        <v>11</v>
      </c>
    </row>
    <row r="16" spans="1:38" s="210" customFormat="1" ht="17.25" customHeight="1">
      <c r="A16" s="263" t="s">
        <v>1</v>
      </c>
      <c r="B16" s="207" t="s">
        <v>19</v>
      </c>
      <c r="C16" s="264">
        <f aca="true" t="shared" si="2" ref="C16:T16">C17+C18+C19+C20+C21+C22+C23+C24+C25+C26+C27</f>
        <v>97</v>
      </c>
      <c r="D16" s="264">
        <f t="shared" si="2"/>
        <v>0</v>
      </c>
      <c r="E16" s="264">
        <f t="shared" si="2"/>
        <v>0</v>
      </c>
      <c r="F16" s="264">
        <f t="shared" si="2"/>
        <v>69</v>
      </c>
      <c r="G16" s="264">
        <f t="shared" si="2"/>
        <v>7</v>
      </c>
      <c r="H16" s="264">
        <f t="shared" si="2"/>
        <v>8</v>
      </c>
      <c r="I16" s="264">
        <f t="shared" si="2"/>
        <v>11</v>
      </c>
      <c r="J16" s="264">
        <f t="shared" si="2"/>
        <v>2</v>
      </c>
      <c r="K16" s="264">
        <f t="shared" si="2"/>
        <v>0</v>
      </c>
      <c r="L16" s="264">
        <f t="shared" si="2"/>
        <v>7</v>
      </c>
      <c r="M16" s="264">
        <f t="shared" si="2"/>
        <v>61</v>
      </c>
      <c r="N16" s="264">
        <f t="shared" si="2"/>
        <v>3</v>
      </c>
      <c r="O16" s="264">
        <f t="shared" si="2"/>
        <v>15</v>
      </c>
      <c r="P16" s="264">
        <f t="shared" si="2"/>
        <v>16</v>
      </c>
      <c r="Q16" s="264">
        <f t="shared" si="2"/>
        <v>41</v>
      </c>
      <c r="R16" s="264">
        <f t="shared" si="2"/>
        <v>6</v>
      </c>
      <c r="S16" s="264">
        <f t="shared" si="2"/>
        <v>8</v>
      </c>
      <c r="T16" s="264">
        <f t="shared" si="2"/>
        <v>42</v>
      </c>
      <c r="AL16" s="208"/>
    </row>
    <row r="17" spans="1:32" s="210" customFormat="1" ht="17.25" customHeight="1">
      <c r="A17" s="209">
        <v>1</v>
      </c>
      <c r="B17" s="77" t="s">
        <v>377</v>
      </c>
      <c r="C17" s="260">
        <f aca="true" t="shared" si="3" ref="C17:C27">D17+E17+F17+G17+H17+I17+J17</f>
        <v>8</v>
      </c>
      <c r="D17" s="261"/>
      <c r="E17" s="261"/>
      <c r="F17" s="265">
        <v>6</v>
      </c>
      <c r="G17" s="265">
        <v>1</v>
      </c>
      <c r="H17" s="265"/>
      <c r="I17" s="266"/>
      <c r="J17" s="266">
        <v>1</v>
      </c>
      <c r="K17" s="266"/>
      <c r="L17" s="266"/>
      <c r="M17" s="265">
        <v>4</v>
      </c>
      <c r="N17" s="265">
        <v>1</v>
      </c>
      <c r="O17" s="265"/>
      <c r="P17" s="265"/>
      <c r="Q17" s="265">
        <v>5</v>
      </c>
      <c r="R17" s="265"/>
      <c r="S17" s="265"/>
      <c r="T17" s="265">
        <v>3</v>
      </c>
      <c r="AF17" s="208" t="e">
        <f>(R17-D17)/D17</f>
        <v>#DIV/0!</v>
      </c>
    </row>
    <row r="18" spans="1:20" s="210" customFormat="1" ht="17.25" customHeight="1">
      <c r="A18" s="209">
        <v>2</v>
      </c>
      <c r="B18" s="77" t="s">
        <v>409</v>
      </c>
      <c r="C18" s="260">
        <f t="shared" si="3"/>
        <v>7</v>
      </c>
      <c r="D18" s="261"/>
      <c r="E18" s="261"/>
      <c r="F18" s="265">
        <v>6</v>
      </c>
      <c r="G18" s="265"/>
      <c r="H18" s="265"/>
      <c r="I18" s="266">
        <v>1</v>
      </c>
      <c r="J18" s="266"/>
      <c r="K18" s="266"/>
      <c r="L18" s="266"/>
      <c r="M18" s="265">
        <v>6</v>
      </c>
      <c r="N18" s="265"/>
      <c r="O18" s="265">
        <v>3</v>
      </c>
      <c r="P18" s="265"/>
      <c r="Q18" s="265">
        <v>3</v>
      </c>
      <c r="R18" s="265">
        <v>1</v>
      </c>
      <c r="S18" s="265"/>
      <c r="T18" s="265">
        <v>3</v>
      </c>
    </row>
    <row r="19" spans="1:20" s="210" customFormat="1" ht="17.25" customHeight="1">
      <c r="A19" s="209">
        <v>3</v>
      </c>
      <c r="B19" s="77" t="s">
        <v>380</v>
      </c>
      <c r="C19" s="260">
        <f t="shared" si="3"/>
        <v>14</v>
      </c>
      <c r="D19" s="261"/>
      <c r="E19" s="261"/>
      <c r="F19" s="265">
        <v>12</v>
      </c>
      <c r="G19" s="265">
        <v>1</v>
      </c>
      <c r="H19" s="265"/>
      <c r="I19" s="266">
        <v>1</v>
      </c>
      <c r="J19" s="266"/>
      <c r="K19" s="266"/>
      <c r="L19" s="266"/>
      <c r="M19" s="265">
        <v>9</v>
      </c>
      <c r="N19" s="265">
        <v>1</v>
      </c>
      <c r="O19" s="265"/>
      <c r="P19" s="265">
        <v>13</v>
      </c>
      <c r="Q19" s="265">
        <v>8</v>
      </c>
      <c r="R19" s="265">
        <v>1</v>
      </c>
      <c r="S19" s="265">
        <v>1</v>
      </c>
      <c r="T19" s="265">
        <v>4</v>
      </c>
    </row>
    <row r="20" spans="1:20" s="210" customFormat="1" ht="17.25" customHeight="1">
      <c r="A20" s="209">
        <v>4</v>
      </c>
      <c r="B20" s="77" t="s">
        <v>381</v>
      </c>
      <c r="C20" s="260">
        <f t="shared" si="3"/>
        <v>7</v>
      </c>
      <c r="D20" s="261"/>
      <c r="E20" s="261"/>
      <c r="F20" s="265">
        <v>3</v>
      </c>
      <c r="G20" s="265"/>
      <c r="H20" s="265">
        <v>1</v>
      </c>
      <c r="I20" s="266">
        <v>2</v>
      </c>
      <c r="J20" s="266">
        <v>1</v>
      </c>
      <c r="K20" s="266"/>
      <c r="L20" s="266"/>
      <c r="M20" s="265">
        <v>3</v>
      </c>
      <c r="N20" s="265"/>
      <c r="O20" s="265">
        <v>1</v>
      </c>
      <c r="P20" s="265"/>
      <c r="Q20" s="265">
        <v>2</v>
      </c>
      <c r="R20" s="265"/>
      <c r="S20" s="265">
        <v>1</v>
      </c>
      <c r="T20" s="265">
        <v>4</v>
      </c>
    </row>
    <row r="21" spans="1:39" s="210" customFormat="1" ht="17.25" customHeight="1">
      <c r="A21" s="209">
        <v>5</v>
      </c>
      <c r="B21" s="77" t="s">
        <v>382</v>
      </c>
      <c r="C21" s="260">
        <f t="shared" si="3"/>
        <v>8</v>
      </c>
      <c r="D21" s="261"/>
      <c r="E21" s="261"/>
      <c r="F21" s="265">
        <v>5</v>
      </c>
      <c r="G21" s="265">
        <v>1</v>
      </c>
      <c r="H21" s="265">
        <v>2</v>
      </c>
      <c r="I21" s="266"/>
      <c r="J21" s="266"/>
      <c r="K21" s="266"/>
      <c r="L21" s="266">
        <v>1</v>
      </c>
      <c r="M21" s="265">
        <v>6</v>
      </c>
      <c r="N21" s="265"/>
      <c r="O21" s="265"/>
      <c r="P21" s="265"/>
      <c r="Q21" s="265">
        <v>3</v>
      </c>
      <c r="R21" s="265"/>
      <c r="S21" s="265">
        <v>2</v>
      </c>
      <c r="T21" s="265">
        <v>3</v>
      </c>
      <c r="AJ21" s="210">
        <f>AI20-AI21</f>
        <v>0</v>
      </c>
      <c r="AK21" s="210">
        <v>1653</v>
      </c>
      <c r="AL21" s="210">
        <f>AI20-AK21</f>
        <v>-1653</v>
      </c>
      <c r="AM21" s="208" t="e">
        <f>AL21/AI20</f>
        <v>#DIV/0!</v>
      </c>
    </row>
    <row r="22" spans="1:39" s="210" customFormat="1" ht="17.25" customHeight="1">
      <c r="A22" s="209">
        <v>6</v>
      </c>
      <c r="B22" s="77" t="s">
        <v>383</v>
      </c>
      <c r="C22" s="260">
        <f t="shared" si="3"/>
        <v>10</v>
      </c>
      <c r="D22" s="261"/>
      <c r="E22" s="261"/>
      <c r="F22" s="265">
        <v>7</v>
      </c>
      <c r="G22" s="265"/>
      <c r="H22" s="265">
        <v>1</v>
      </c>
      <c r="I22" s="266">
        <v>2</v>
      </c>
      <c r="J22" s="266"/>
      <c r="K22" s="266"/>
      <c r="L22" s="266">
        <v>1</v>
      </c>
      <c r="M22" s="265">
        <v>8</v>
      </c>
      <c r="N22" s="265"/>
      <c r="O22" s="265">
        <v>2</v>
      </c>
      <c r="P22" s="265"/>
      <c r="Q22" s="265">
        <v>3</v>
      </c>
      <c r="R22" s="265"/>
      <c r="S22" s="265">
        <v>1</v>
      </c>
      <c r="T22" s="265">
        <v>6</v>
      </c>
      <c r="AM22" s="208" t="e">
        <f>AN20-AM21</f>
        <v>#DIV/0!</v>
      </c>
    </row>
    <row r="23" spans="1:20" s="210" customFormat="1" ht="17.25" customHeight="1">
      <c r="A23" s="209">
        <v>7</v>
      </c>
      <c r="B23" s="77" t="s">
        <v>388</v>
      </c>
      <c r="C23" s="260">
        <f t="shared" si="3"/>
        <v>7</v>
      </c>
      <c r="D23" s="261"/>
      <c r="E23" s="261"/>
      <c r="F23" s="265">
        <v>4</v>
      </c>
      <c r="G23" s="265">
        <v>1</v>
      </c>
      <c r="H23" s="265">
        <v>1</v>
      </c>
      <c r="I23" s="266">
        <v>1</v>
      </c>
      <c r="J23" s="266"/>
      <c r="K23" s="266"/>
      <c r="L23" s="266">
        <v>1</v>
      </c>
      <c r="M23" s="265">
        <v>3</v>
      </c>
      <c r="N23" s="265"/>
      <c r="O23" s="265">
        <v>1</v>
      </c>
      <c r="P23" s="265"/>
      <c r="Q23" s="265">
        <v>2</v>
      </c>
      <c r="R23" s="265"/>
      <c r="S23" s="265"/>
      <c r="T23" s="265">
        <v>5</v>
      </c>
    </row>
    <row r="24" spans="1:36" s="210" customFormat="1" ht="17.25" customHeight="1">
      <c r="A24" s="209">
        <v>8</v>
      </c>
      <c r="B24" s="77" t="s">
        <v>390</v>
      </c>
      <c r="C24" s="260">
        <f t="shared" si="3"/>
        <v>9</v>
      </c>
      <c r="D24" s="261"/>
      <c r="E24" s="261"/>
      <c r="F24" s="265">
        <v>6</v>
      </c>
      <c r="G24" s="265">
        <v>1</v>
      </c>
      <c r="H24" s="265">
        <v>1</v>
      </c>
      <c r="I24" s="266">
        <v>1</v>
      </c>
      <c r="J24" s="266"/>
      <c r="K24" s="266"/>
      <c r="L24" s="266">
        <v>1</v>
      </c>
      <c r="M24" s="265">
        <v>4</v>
      </c>
      <c r="N24" s="265"/>
      <c r="O24" s="265">
        <v>1</v>
      </c>
      <c r="P24" s="265"/>
      <c r="Q24" s="265">
        <v>2</v>
      </c>
      <c r="R24" s="265">
        <v>1</v>
      </c>
      <c r="S24" s="265">
        <v>2</v>
      </c>
      <c r="T24" s="265">
        <v>4</v>
      </c>
      <c r="AJ24" s="210">
        <f>AI23-AI24</f>
        <v>0</v>
      </c>
    </row>
    <row r="25" spans="1:36" s="210" customFormat="1" ht="17.25" customHeight="1">
      <c r="A25" s="209">
        <v>9</v>
      </c>
      <c r="B25" s="77" t="s">
        <v>391</v>
      </c>
      <c r="C25" s="260">
        <f t="shared" si="3"/>
        <v>11</v>
      </c>
      <c r="D25" s="261"/>
      <c r="E25" s="261"/>
      <c r="F25" s="265">
        <v>8</v>
      </c>
      <c r="G25" s="265"/>
      <c r="H25" s="265">
        <v>1</v>
      </c>
      <c r="I25" s="266">
        <v>2</v>
      </c>
      <c r="J25" s="266"/>
      <c r="K25" s="266"/>
      <c r="L25" s="266">
        <v>1</v>
      </c>
      <c r="M25" s="265">
        <v>8</v>
      </c>
      <c r="N25" s="265">
        <v>1</v>
      </c>
      <c r="O25" s="265">
        <v>1</v>
      </c>
      <c r="P25" s="265">
        <v>3</v>
      </c>
      <c r="Q25" s="265">
        <v>4</v>
      </c>
      <c r="R25" s="265">
        <v>1</v>
      </c>
      <c r="S25" s="265">
        <v>1</v>
      </c>
      <c r="T25" s="265">
        <v>5</v>
      </c>
      <c r="AJ25" s="208" t="e">
        <f>AI24/AI25</f>
        <v>#DIV/0!</v>
      </c>
    </row>
    <row r="26" spans="1:44" s="210" customFormat="1" ht="17.25" customHeight="1">
      <c r="A26" s="209">
        <v>10</v>
      </c>
      <c r="B26" s="77" t="s">
        <v>392</v>
      </c>
      <c r="C26" s="260">
        <f t="shared" si="3"/>
        <v>8</v>
      </c>
      <c r="D26" s="261"/>
      <c r="E26" s="261"/>
      <c r="F26" s="265">
        <v>6</v>
      </c>
      <c r="G26" s="265">
        <v>1</v>
      </c>
      <c r="H26" s="265"/>
      <c r="I26" s="266">
        <v>1</v>
      </c>
      <c r="J26" s="266"/>
      <c r="K26" s="266"/>
      <c r="L26" s="266">
        <v>1</v>
      </c>
      <c r="M26" s="265">
        <v>3</v>
      </c>
      <c r="N26" s="265"/>
      <c r="O26" s="265">
        <v>3</v>
      </c>
      <c r="P26" s="265"/>
      <c r="Q26" s="265">
        <v>4</v>
      </c>
      <c r="R26" s="265">
        <v>1</v>
      </c>
      <c r="S26" s="265"/>
      <c r="T26" s="265">
        <v>3</v>
      </c>
      <c r="AR26" s="208"/>
    </row>
    <row r="27" spans="1:20" s="210" customFormat="1" ht="17.25" customHeight="1">
      <c r="A27" s="209">
        <v>11</v>
      </c>
      <c r="B27" s="77" t="s">
        <v>394</v>
      </c>
      <c r="C27" s="260">
        <f t="shared" si="3"/>
        <v>8</v>
      </c>
      <c r="D27" s="261"/>
      <c r="E27" s="261"/>
      <c r="F27" s="265">
        <v>6</v>
      </c>
      <c r="G27" s="265">
        <v>1</v>
      </c>
      <c r="H27" s="265">
        <v>1</v>
      </c>
      <c r="I27" s="266"/>
      <c r="J27" s="266"/>
      <c r="K27" s="266"/>
      <c r="L27" s="266">
        <v>1</v>
      </c>
      <c r="M27" s="265">
        <v>7</v>
      </c>
      <c r="N27" s="265"/>
      <c r="O27" s="265">
        <v>3</v>
      </c>
      <c r="P27" s="265"/>
      <c r="Q27" s="265">
        <v>5</v>
      </c>
      <c r="R27" s="265">
        <v>1</v>
      </c>
      <c r="S27" s="265"/>
      <c r="T27" s="265">
        <v>2</v>
      </c>
    </row>
    <row r="28" spans="1:35" ht="6.75" customHeight="1">
      <c r="A28" s="217"/>
      <c r="B28" s="217"/>
      <c r="C28" s="217"/>
      <c r="D28" s="217"/>
      <c r="E28" s="217"/>
      <c r="F28" s="217"/>
      <c r="G28" s="217"/>
      <c r="H28" s="217"/>
      <c r="I28" s="217"/>
      <c r="J28" s="217"/>
      <c r="K28" s="217"/>
      <c r="L28" s="217"/>
      <c r="M28" s="217"/>
      <c r="N28" s="217"/>
      <c r="O28" s="217"/>
      <c r="P28" s="217"/>
      <c r="Q28" s="217"/>
      <c r="AG28" s="205" t="s">
        <v>396</v>
      </c>
      <c r="AI28" s="199">
        <f>82/88</f>
        <v>0.9318181818181818</v>
      </c>
    </row>
    <row r="29" spans="1:20" ht="15.75" customHeight="1">
      <c r="A29" s="211"/>
      <c r="B29" s="1337" t="s">
        <v>420</v>
      </c>
      <c r="C29" s="1337"/>
      <c r="D29" s="1337"/>
      <c r="E29" s="1337"/>
      <c r="F29" s="267"/>
      <c r="G29" s="267"/>
      <c r="H29" s="267"/>
      <c r="I29" s="267"/>
      <c r="J29" s="267"/>
      <c r="K29" s="267"/>
      <c r="L29" s="215"/>
      <c r="M29" s="1336" t="s">
        <v>433</v>
      </c>
      <c r="N29" s="1336"/>
      <c r="O29" s="1336"/>
      <c r="P29" s="1336"/>
      <c r="Q29" s="1336"/>
      <c r="R29" s="1336"/>
      <c r="S29" s="1336"/>
      <c r="T29" s="1336"/>
    </row>
    <row r="30" spans="1:20" ht="18.75" customHeight="1">
      <c r="A30" s="211"/>
      <c r="B30" s="1338" t="s">
        <v>250</v>
      </c>
      <c r="C30" s="1338"/>
      <c r="D30" s="1338"/>
      <c r="E30" s="1338"/>
      <c r="F30" s="214"/>
      <c r="G30" s="214"/>
      <c r="H30" s="214"/>
      <c r="I30" s="214"/>
      <c r="J30" s="214"/>
      <c r="K30" s="214"/>
      <c r="L30" s="215"/>
      <c r="M30" s="1339" t="s">
        <v>251</v>
      </c>
      <c r="N30" s="1339"/>
      <c r="O30" s="1339"/>
      <c r="P30" s="1339"/>
      <c r="Q30" s="1339"/>
      <c r="R30" s="1339"/>
      <c r="S30" s="1339"/>
      <c r="T30" s="1339"/>
    </row>
    <row r="31" spans="1:20" ht="18.75">
      <c r="A31" s="217"/>
      <c r="B31" s="1299"/>
      <c r="C31" s="1299"/>
      <c r="D31" s="1299"/>
      <c r="E31" s="1299"/>
      <c r="F31" s="218"/>
      <c r="G31" s="218"/>
      <c r="H31" s="218"/>
      <c r="I31" s="218"/>
      <c r="J31" s="218"/>
      <c r="K31" s="218"/>
      <c r="L31" s="218"/>
      <c r="M31" s="1300"/>
      <c r="N31" s="1300"/>
      <c r="O31" s="1300"/>
      <c r="P31" s="1300"/>
      <c r="Q31" s="1300"/>
      <c r="R31" s="1300"/>
      <c r="S31" s="1300"/>
      <c r="T31" s="1300"/>
    </row>
    <row r="32" spans="1:20" ht="18.75">
      <c r="A32" s="217"/>
      <c r="B32" s="218"/>
      <c r="C32" s="218"/>
      <c r="D32" s="218"/>
      <c r="E32" s="218"/>
      <c r="F32" s="218"/>
      <c r="G32" s="218"/>
      <c r="H32" s="218"/>
      <c r="I32" s="218"/>
      <c r="J32" s="218"/>
      <c r="K32" s="218"/>
      <c r="L32" s="218"/>
      <c r="M32" s="218"/>
      <c r="N32" s="218"/>
      <c r="O32" s="218"/>
      <c r="P32" s="218"/>
      <c r="Q32" s="218"/>
      <c r="R32" s="215"/>
      <c r="S32" s="215"/>
      <c r="T32" s="215"/>
    </row>
    <row r="33" spans="2:20" ht="18">
      <c r="B33" s="1324" t="s">
        <v>399</v>
      </c>
      <c r="C33" s="1324"/>
      <c r="D33" s="1324"/>
      <c r="E33" s="1324"/>
      <c r="F33" s="1324"/>
      <c r="G33" s="268"/>
      <c r="H33" s="268"/>
      <c r="I33" s="268"/>
      <c r="J33" s="268"/>
      <c r="K33" s="268"/>
      <c r="L33" s="268"/>
      <c r="M33" s="268"/>
      <c r="N33" s="1324" t="s">
        <v>399</v>
      </c>
      <c r="O33" s="1324"/>
      <c r="P33" s="1324"/>
      <c r="Q33" s="1324"/>
      <c r="R33" s="1324"/>
      <c r="S33" s="1324"/>
      <c r="T33" s="215"/>
    </row>
    <row r="34" spans="2:20" ht="18">
      <c r="B34" s="215"/>
      <c r="C34" s="215"/>
      <c r="D34" s="215"/>
      <c r="E34" s="215"/>
      <c r="F34" s="215"/>
      <c r="G34" s="215"/>
      <c r="H34" s="215"/>
      <c r="I34" s="215"/>
      <c r="J34" s="215"/>
      <c r="K34" s="215"/>
      <c r="L34" s="215"/>
      <c r="M34" s="215"/>
      <c r="N34" s="215"/>
      <c r="O34" s="215"/>
      <c r="P34" s="215"/>
      <c r="Q34" s="215"/>
      <c r="R34" s="215"/>
      <c r="S34" s="215"/>
      <c r="T34" s="215"/>
    </row>
    <row r="35" spans="2:20" ht="18.75">
      <c r="B35" s="1205" t="s">
        <v>352</v>
      </c>
      <c r="C35" s="1205"/>
      <c r="D35" s="1205"/>
      <c r="E35" s="1205"/>
      <c r="F35" s="219"/>
      <c r="G35" s="219"/>
      <c r="H35" s="219"/>
      <c r="I35" s="191"/>
      <c r="J35" s="191"/>
      <c r="K35" s="191"/>
      <c r="L35" s="191"/>
      <c r="M35" s="1206" t="s">
        <v>353</v>
      </c>
      <c r="N35" s="1206"/>
      <c r="O35" s="1206"/>
      <c r="P35" s="1206"/>
      <c r="Q35" s="1206"/>
      <c r="R35" s="1206"/>
      <c r="S35" s="1206"/>
      <c r="T35" s="1206"/>
    </row>
    <row r="36" spans="2:20" ht="18.75">
      <c r="B36" s="101"/>
      <c r="C36" s="101"/>
      <c r="D36" s="101"/>
      <c r="E36" s="101"/>
      <c r="F36" s="219"/>
      <c r="G36" s="219"/>
      <c r="H36" s="219"/>
      <c r="I36" s="191"/>
      <c r="J36" s="191"/>
      <c r="K36" s="191"/>
      <c r="L36" s="191"/>
      <c r="M36" s="102"/>
      <c r="N36" s="102"/>
      <c r="O36" s="102"/>
      <c r="P36" s="102"/>
      <c r="Q36" s="102"/>
      <c r="R36" s="102"/>
      <c r="S36" s="102"/>
      <c r="T36" s="102"/>
    </row>
    <row r="37" spans="2:20" ht="18.75">
      <c r="B37" s="101"/>
      <c r="C37" s="101"/>
      <c r="D37" s="101"/>
      <c r="E37" s="101"/>
      <c r="F37" s="219"/>
      <c r="G37" s="219"/>
      <c r="H37" s="219"/>
      <c r="I37" s="191"/>
      <c r="J37" s="191"/>
      <c r="K37" s="191"/>
      <c r="L37" s="191"/>
      <c r="M37" s="102"/>
      <c r="N37" s="102"/>
      <c r="O37" s="102"/>
      <c r="P37" s="102"/>
      <c r="Q37" s="102"/>
      <c r="R37" s="102"/>
      <c r="S37" s="102"/>
      <c r="T37" s="102"/>
    </row>
    <row r="38" s="270" customFormat="1" ht="15" hidden="1">
      <c r="A38" s="269" t="s">
        <v>226</v>
      </c>
    </row>
    <row r="39" spans="2:8" s="271" customFormat="1" ht="15" hidden="1">
      <c r="B39" s="272" t="s">
        <v>278</v>
      </c>
      <c r="C39" s="272"/>
      <c r="D39" s="272"/>
      <c r="E39" s="272"/>
      <c r="F39" s="272"/>
      <c r="G39" s="272"/>
      <c r="H39" s="272"/>
    </row>
    <row r="40" spans="2:8" s="273" customFormat="1" ht="15" hidden="1">
      <c r="B40" s="272" t="s">
        <v>279</v>
      </c>
      <c r="C40" s="198"/>
      <c r="D40" s="198"/>
      <c r="E40" s="198"/>
      <c r="F40" s="198"/>
      <c r="G40" s="198"/>
      <c r="H40" s="198"/>
    </row>
    <row r="41" ht="12.75" hidden="1"/>
    <row r="42" ht="12.75" hidden="1"/>
    <row r="43" ht="12.75" hidden="1"/>
    <row r="44" ht="12.75" hidden="1"/>
    <row r="45" ht="12.75" hidden="1"/>
  </sheetData>
  <sheetProtection/>
  <mergeCells count="48">
    <mergeCell ref="C6:C10"/>
    <mergeCell ref="E9:E10"/>
    <mergeCell ref="A11:B11"/>
    <mergeCell ref="F9:F10"/>
    <mergeCell ref="A6:B10"/>
    <mergeCell ref="D9:D10"/>
    <mergeCell ref="D7:J7"/>
    <mergeCell ref="F8:G8"/>
    <mergeCell ref="H9:H10"/>
    <mergeCell ref="G9:G10"/>
    <mergeCell ref="H8:I8"/>
    <mergeCell ref="I9:I10"/>
    <mergeCell ref="A14:B14"/>
    <mergeCell ref="P5:T5"/>
    <mergeCell ref="D6:J6"/>
    <mergeCell ref="A12:B12"/>
    <mergeCell ref="N8:P9"/>
    <mergeCell ref="Q8:Q10"/>
    <mergeCell ref="R8:R10"/>
    <mergeCell ref="K6:T7"/>
    <mergeCell ref="A13:B13"/>
    <mergeCell ref="D8:E8"/>
    <mergeCell ref="M35:T35"/>
    <mergeCell ref="M29:T29"/>
    <mergeCell ref="B35:E35"/>
    <mergeCell ref="B29:E29"/>
    <mergeCell ref="B30:E30"/>
    <mergeCell ref="B31:E31"/>
    <mergeCell ref="M30:T30"/>
    <mergeCell ref="M31:T31"/>
    <mergeCell ref="B33:F33"/>
    <mergeCell ref="N33:S33"/>
    <mergeCell ref="A1:C1"/>
    <mergeCell ref="A3:C3"/>
    <mergeCell ref="A4:C4"/>
    <mergeCell ref="E2:N2"/>
    <mergeCell ref="A2:D2"/>
    <mergeCell ref="D4:N4"/>
    <mergeCell ref="E1:N1"/>
    <mergeCell ref="E3:N3"/>
    <mergeCell ref="T8:T10"/>
    <mergeCell ref="S8:S10"/>
    <mergeCell ref="K8:M9"/>
    <mergeCell ref="J8:J10"/>
    <mergeCell ref="P1:T1"/>
    <mergeCell ref="P2:T2"/>
    <mergeCell ref="P3:T3"/>
    <mergeCell ref="P4:T4"/>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86" customWidth="1"/>
    <col min="2" max="2" width="26.875" style="286" customWidth="1"/>
    <col min="3" max="3" width="11.625" style="242" customWidth="1"/>
    <col min="4" max="7" width="9.00390625" style="242" customWidth="1"/>
    <col min="8" max="9" width="10.125" style="242" customWidth="1"/>
    <col min="10" max="12" width="9.00390625" style="242" customWidth="1"/>
    <col min="13"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36" customHeight="1">
      <c r="A1" s="1367" t="s">
        <v>280</v>
      </c>
      <c r="B1" s="1367"/>
      <c r="C1" s="1367"/>
      <c r="D1" s="1370" t="s">
        <v>472</v>
      </c>
      <c r="E1" s="1370"/>
      <c r="F1" s="1370"/>
      <c r="G1" s="1370"/>
      <c r="H1" s="1370"/>
      <c r="I1" s="1370"/>
      <c r="J1" s="1371" t="s">
        <v>473</v>
      </c>
      <c r="K1" s="1372"/>
      <c r="L1" s="1372"/>
    </row>
    <row r="2" spans="1:12" ht="34.5" customHeight="1">
      <c r="A2" s="1373" t="s">
        <v>434</v>
      </c>
      <c r="B2" s="1373"/>
      <c r="C2" s="1373"/>
      <c r="D2" s="1370"/>
      <c r="E2" s="1370"/>
      <c r="F2" s="1370"/>
      <c r="G2" s="1370"/>
      <c r="H2" s="1370"/>
      <c r="I2" s="1370"/>
      <c r="J2" s="1374" t="s">
        <v>474</v>
      </c>
      <c r="K2" s="1375"/>
      <c r="L2" s="1375"/>
    </row>
    <row r="3" spans="1:12" ht="15" customHeight="1">
      <c r="A3" s="274" t="s">
        <v>364</v>
      </c>
      <c r="B3" s="183"/>
      <c r="C3" s="1376"/>
      <c r="D3" s="1376"/>
      <c r="E3" s="1376"/>
      <c r="F3" s="1376"/>
      <c r="G3" s="1376"/>
      <c r="H3" s="1376"/>
      <c r="I3" s="1376"/>
      <c r="J3" s="1368"/>
      <c r="K3" s="1369"/>
      <c r="L3" s="1369"/>
    </row>
    <row r="4" spans="1:12" ht="15.75" customHeight="1">
      <c r="A4" s="275"/>
      <c r="B4" s="275"/>
      <c r="C4" s="276"/>
      <c r="D4" s="276"/>
      <c r="E4" s="179"/>
      <c r="F4" s="179"/>
      <c r="G4" s="179"/>
      <c r="H4" s="277"/>
      <c r="I4" s="277"/>
      <c r="J4" s="1377" t="s">
        <v>281</v>
      </c>
      <c r="K4" s="1377"/>
      <c r="L4" s="1377"/>
    </row>
    <row r="5" spans="1:12" s="278" customFormat="1" ht="28.5" customHeight="1">
      <c r="A5" s="1362" t="s">
        <v>72</v>
      </c>
      <c r="B5" s="1362"/>
      <c r="C5" s="1277" t="s">
        <v>38</v>
      </c>
      <c r="D5" s="1277" t="s">
        <v>282</v>
      </c>
      <c r="E5" s="1277"/>
      <c r="F5" s="1277"/>
      <c r="G5" s="1277"/>
      <c r="H5" s="1277" t="s">
        <v>283</v>
      </c>
      <c r="I5" s="1277"/>
      <c r="J5" s="1277" t="s">
        <v>284</v>
      </c>
      <c r="K5" s="1277"/>
      <c r="L5" s="1277"/>
    </row>
    <row r="6" spans="1:13" s="278" customFormat="1" ht="80.25" customHeight="1">
      <c r="A6" s="1362"/>
      <c r="B6" s="1362"/>
      <c r="C6" s="1277"/>
      <c r="D6" s="224" t="s">
        <v>285</v>
      </c>
      <c r="E6" s="224" t="s">
        <v>286</v>
      </c>
      <c r="F6" s="224" t="s">
        <v>435</v>
      </c>
      <c r="G6" s="224" t="s">
        <v>287</v>
      </c>
      <c r="H6" s="224" t="s">
        <v>288</v>
      </c>
      <c r="I6" s="224" t="s">
        <v>289</v>
      </c>
      <c r="J6" s="224" t="s">
        <v>290</v>
      </c>
      <c r="K6" s="224" t="s">
        <v>291</v>
      </c>
      <c r="L6" s="224" t="s">
        <v>292</v>
      </c>
      <c r="M6" s="279"/>
    </row>
    <row r="7" spans="1:12" s="280" customFormat="1" ht="16.5" customHeight="1">
      <c r="A7" s="1378" t="s">
        <v>6</v>
      </c>
      <c r="B7" s="1378"/>
      <c r="C7" s="230">
        <v>1</v>
      </c>
      <c r="D7" s="230">
        <v>2</v>
      </c>
      <c r="E7" s="230">
        <v>3</v>
      </c>
      <c r="F7" s="230">
        <v>4</v>
      </c>
      <c r="G7" s="230">
        <v>5</v>
      </c>
      <c r="H7" s="230">
        <v>6</v>
      </c>
      <c r="I7" s="230">
        <v>7</v>
      </c>
      <c r="J7" s="230">
        <v>8</v>
      </c>
      <c r="K7" s="230">
        <v>9</v>
      </c>
      <c r="L7" s="230">
        <v>10</v>
      </c>
    </row>
    <row r="8" spans="1:12" s="280" customFormat="1" ht="16.5" customHeight="1">
      <c r="A8" s="1365" t="s">
        <v>432</v>
      </c>
      <c r="B8" s="1366"/>
      <c r="C8" s="232">
        <f aca="true" t="shared" si="0" ref="C8:L8">C10-C9</f>
        <v>-3</v>
      </c>
      <c r="D8" s="232">
        <f t="shared" si="0"/>
        <v>-1</v>
      </c>
      <c r="E8" s="232">
        <f t="shared" si="0"/>
        <v>0</v>
      </c>
      <c r="F8" s="232">
        <f t="shared" si="0"/>
        <v>0</v>
      </c>
      <c r="G8" s="232">
        <f t="shared" si="0"/>
        <v>-2</v>
      </c>
      <c r="H8" s="232">
        <f t="shared" si="0"/>
        <v>-2</v>
      </c>
      <c r="I8" s="232">
        <f t="shared" si="0"/>
        <v>0</v>
      </c>
      <c r="J8" s="232">
        <f t="shared" si="0"/>
        <v>-2</v>
      </c>
      <c r="K8" s="232">
        <f t="shared" si="0"/>
        <v>-1</v>
      </c>
      <c r="L8" s="232">
        <f t="shared" si="0"/>
        <v>0</v>
      </c>
    </row>
    <row r="9" spans="1:12" s="280" customFormat="1" ht="16.5" customHeight="1">
      <c r="A9" s="1363" t="s">
        <v>408</v>
      </c>
      <c r="B9" s="1364"/>
      <c r="C9" s="233">
        <v>9</v>
      </c>
      <c r="D9" s="233">
        <v>2</v>
      </c>
      <c r="E9" s="233">
        <v>2</v>
      </c>
      <c r="F9" s="233">
        <v>0</v>
      </c>
      <c r="G9" s="233">
        <v>5</v>
      </c>
      <c r="H9" s="233">
        <v>8</v>
      </c>
      <c r="I9" s="233">
        <v>0</v>
      </c>
      <c r="J9" s="233">
        <v>8</v>
      </c>
      <c r="K9" s="233">
        <v>1</v>
      </c>
      <c r="L9" s="233">
        <v>0</v>
      </c>
    </row>
    <row r="10" spans="1:12" s="280" customFormat="1" ht="16.5" customHeight="1">
      <c r="A10" s="1379" t="s">
        <v>277</v>
      </c>
      <c r="B10" s="1379"/>
      <c r="C10" s="235">
        <f aca="true" t="shared" si="1" ref="C10:L10">C11+C12</f>
        <v>6</v>
      </c>
      <c r="D10" s="235">
        <f t="shared" si="1"/>
        <v>1</v>
      </c>
      <c r="E10" s="235">
        <f t="shared" si="1"/>
        <v>2</v>
      </c>
      <c r="F10" s="235">
        <f t="shared" si="1"/>
        <v>0</v>
      </c>
      <c r="G10" s="235">
        <f t="shared" si="1"/>
        <v>3</v>
      </c>
      <c r="H10" s="235">
        <f t="shared" si="1"/>
        <v>6</v>
      </c>
      <c r="I10" s="235">
        <f t="shared" si="1"/>
        <v>0</v>
      </c>
      <c r="J10" s="235">
        <f t="shared" si="1"/>
        <v>6</v>
      </c>
      <c r="K10" s="235">
        <f t="shared" si="1"/>
        <v>0</v>
      </c>
      <c r="L10" s="235">
        <f t="shared" si="1"/>
        <v>0</v>
      </c>
    </row>
    <row r="11" spans="1:12" s="280" customFormat="1" ht="16.5" customHeight="1">
      <c r="A11" s="206" t="s">
        <v>0</v>
      </c>
      <c r="B11" s="207" t="s">
        <v>293</v>
      </c>
      <c r="C11" s="281">
        <f>D11+E11+F11+G11</f>
        <v>3</v>
      </c>
      <c r="D11" s="240">
        <v>1</v>
      </c>
      <c r="E11" s="240">
        <v>0</v>
      </c>
      <c r="F11" s="240">
        <v>0</v>
      </c>
      <c r="G11" s="240">
        <v>2</v>
      </c>
      <c r="H11" s="240">
        <v>3</v>
      </c>
      <c r="I11" s="240">
        <v>0</v>
      </c>
      <c r="J11" s="282">
        <v>3</v>
      </c>
      <c r="K11" s="282">
        <v>0</v>
      </c>
      <c r="L11" s="282">
        <v>0</v>
      </c>
    </row>
    <row r="12" spans="1:12" s="280" customFormat="1" ht="16.5" customHeight="1">
      <c r="A12" s="206" t="s">
        <v>1</v>
      </c>
      <c r="B12" s="207" t="s">
        <v>19</v>
      </c>
      <c r="C12" s="235">
        <f aca="true" t="shared" si="2" ref="C12:L12">C13+C14+C15+C16+C17+C18+C19+C20+C21+C22+C23</f>
        <v>3</v>
      </c>
      <c r="D12" s="235">
        <f t="shared" si="2"/>
        <v>0</v>
      </c>
      <c r="E12" s="235">
        <f t="shared" si="2"/>
        <v>2</v>
      </c>
      <c r="F12" s="235">
        <f t="shared" si="2"/>
        <v>0</v>
      </c>
      <c r="G12" s="235">
        <f t="shared" si="2"/>
        <v>1</v>
      </c>
      <c r="H12" s="235">
        <f t="shared" si="2"/>
        <v>3</v>
      </c>
      <c r="I12" s="235">
        <f t="shared" si="2"/>
        <v>0</v>
      </c>
      <c r="J12" s="235">
        <f t="shared" si="2"/>
        <v>3</v>
      </c>
      <c r="K12" s="235">
        <f t="shared" si="2"/>
        <v>0</v>
      </c>
      <c r="L12" s="235">
        <f t="shared" si="2"/>
        <v>0</v>
      </c>
    </row>
    <row r="13" spans="1:32" s="280" customFormat="1" ht="16.5" customHeight="1">
      <c r="A13" s="283">
        <v>1</v>
      </c>
      <c r="B13" s="77" t="s">
        <v>377</v>
      </c>
      <c r="C13" s="281">
        <f aca="true" t="shared" si="3" ref="C13:C23">D13+E13+F13+G13</f>
        <v>0</v>
      </c>
      <c r="D13" s="240">
        <v>0</v>
      </c>
      <c r="E13" s="240">
        <v>0</v>
      </c>
      <c r="F13" s="240">
        <v>0</v>
      </c>
      <c r="G13" s="240">
        <v>0</v>
      </c>
      <c r="H13" s="240">
        <v>0</v>
      </c>
      <c r="I13" s="240">
        <v>0</v>
      </c>
      <c r="J13" s="282">
        <v>0</v>
      </c>
      <c r="K13" s="282">
        <v>0</v>
      </c>
      <c r="L13" s="282">
        <v>0</v>
      </c>
      <c r="AF13" s="280" t="s">
        <v>376</v>
      </c>
    </row>
    <row r="14" spans="1:37" s="280" customFormat="1" ht="16.5" customHeight="1">
      <c r="A14" s="283">
        <v>2</v>
      </c>
      <c r="B14" s="77" t="s">
        <v>409</v>
      </c>
      <c r="C14" s="281">
        <f t="shared" si="3"/>
        <v>0</v>
      </c>
      <c r="D14" s="237">
        <v>0</v>
      </c>
      <c r="E14" s="240">
        <v>0</v>
      </c>
      <c r="F14" s="240">
        <v>0</v>
      </c>
      <c r="G14" s="240">
        <v>0</v>
      </c>
      <c r="H14" s="240">
        <v>0</v>
      </c>
      <c r="I14" s="240">
        <v>0</v>
      </c>
      <c r="J14" s="282">
        <v>0</v>
      </c>
      <c r="K14" s="282">
        <v>0</v>
      </c>
      <c r="L14" s="282">
        <v>0</v>
      </c>
      <c r="AK14" s="208"/>
    </row>
    <row r="15" spans="1:13" s="280" customFormat="1" ht="16.5" customHeight="1">
      <c r="A15" s="283">
        <v>3</v>
      </c>
      <c r="B15" s="77" t="s">
        <v>380</v>
      </c>
      <c r="C15" s="281">
        <f t="shared" si="3"/>
        <v>0</v>
      </c>
      <c r="D15" s="240">
        <v>0</v>
      </c>
      <c r="E15" s="240">
        <v>0</v>
      </c>
      <c r="F15" s="240">
        <v>0</v>
      </c>
      <c r="G15" s="240">
        <v>0</v>
      </c>
      <c r="H15" s="284">
        <v>0</v>
      </c>
      <c r="I15" s="284">
        <v>0</v>
      </c>
      <c r="J15" s="285">
        <v>0</v>
      </c>
      <c r="K15" s="282">
        <v>0</v>
      </c>
      <c r="L15" s="282">
        <v>0</v>
      </c>
      <c r="M15" s="187"/>
    </row>
    <row r="16" spans="1:38" s="280" customFormat="1" ht="16.5" customHeight="1">
      <c r="A16" s="283">
        <v>4</v>
      </c>
      <c r="B16" s="77" t="s">
        <v>381</v>
      </c>
      <c r="C16" s="281">
        <f t="shared" si="3"/>
        <v>0</v>
      </c>
      <c r="D16" s="240">
        <v>0</v>
      </c>
      <c r="E16" s="240">
        <v>0</v>
      </c>
      <c r="F16" s="240">
        <v>0</v>
      </c>
      <c r="G16" s="240">
        <v>0</v>
      </c>
      <c r="H16" s="284">
        <v>0</v>
      </c>
      <c r="I16" s="284">
        <v>0</v>
      </c>
      <c r="J16" s="285">
        <v>0</v>
      </c>
      <c r="K16" s="282">
        <v>0</v>
      </c>
      <c r="L16" s="282">
        <v>0</v>
      </c>
      <c r="M16" s="187"/>
      <c r="AL16" s="208"/>
    </row>
    <row r="17" spans="1:32" s="280" customFormat="1" ht="16.5" customHeight="1">
      <c r="A17" s="283">
        <v>5</v>
      </c>
      <c r="B17" s="77" t="s">
        <v>436</v>
      </c>
      <c r="C17" s="281">
        <f t="shared" si="3"/>
        <v>1</v>
      </c>
      <c r="D17" s="240">
        <v>0</v>
      </c>
      <c r="E17" s="240">
        <v>0</v>
      </c>
      <c r="F17" s="240">
        <v>0</v>
      </c>
      <c r="G17" s="240">
        <v>1</v>
      </c>
      <c r="H17" s="240">
        <v>1</v>
      </c>
      <c r="I17" s="240">
        <v>0</v>
      </c>
      <c r="J17" s="282">
        <v>1</v>
      </c>
      <c r="K17" s="282">
        <v>0</v>
      </c>
      <c r="L17" s="282">
        <v>0</v>
      </c>
      <c r="AF17" s="208" t="s">
        <v>379</v>
      </c>
    </row>
    <row r="18" spans="1:12" s="280" customFormat="1" ht="16.5" customHeight="1">
      <c r="A18" s="283">
        <v>6</v>
      </c>
      <c r="B18" s="77" t="s">
        <v>383</v>
      </c>
      <c r="C18" s="281">
        <f t="shared" si="3"/>
        <v>1</v>
      </c>
      <c r="D18" s="240">
        <v>0</v>
      </c>
      <c r="E18" s="240">
        <v>1</v>
      </c>
      <c r="F18" s="240">
        <v>0</v>
      </c>
      <c r="G18" s="240">
        <v>0</v>
      </c>
      <c r="H18" s="240">
        <v>1</v>
      </c>
      <c r="I18" s="240">
        <v>0</v>
      </c>
      <c r="J18" s="282">
        <v>1</v>
      </c>
      <c r="K18" s="282">
        <v>0</v>
      </c>
      <c r="L18" s="282">
        <v>0</v>
      </c>
    </row>
    <row r="19" spans="1:12" s="280" customFormat="1" ht="16.5" customHeight="1">
      <c r="A19" s="283">
        <v>7</v>
      </c>
      <c r="B19" s="77" t="s">
        <v>388</v>
      </c>
      <c r="C19" s="281">
        <f t="shared" si="3"/>
        <v>0</v>
      </c>
      <c r="D19" s="240">
        <v>0</v>
      </c>
      <c r="E19" s="240">
        <v>0</v>
      </c>
      <c r="F19" s="240">
        <v>0</v>
      </c>
      <c r="G19" s="240">
        <v>0</v>
      </c>
      <c r="H19" s="240">
        <v>0</v>
      </c>
      <c r="I19" s="240">
        <v>0</v>
      </c>
      <c r="J19" s="282">
        <v>0</v>
      </c>
      <c r="K19" s="282">
        <v>0</v>
      </c>
      <c r="L19" s="282">
        <v>0</v>
      </c>
    </row>
    <row r="20" spans="1:12" s="280" customFormat="1" ht="16.5" customHeight="1">
      <c r="A20" s="283">
        <v>8</v>
      </c>
      <c r="B20" s="77" t="s">
        <v>390</v>
      </c>
      <c r="C20" s="281">
        <f t="shared" si="3"/>
        <v>0</v>
      </c>
      <c r="D20" s="240">
        <v>0</v>
      </c>
      <c r="E20" s="240">
        <v>0</v>
      </c>
      <c r="F20" s="240">
        <v>0</v>
      </c>
      <c r="G20" s="240">
        <v>0</v>
      </c>
      <c r="H20" s="240">
        <v>0</v>
      </c>
      <c r="I20" s="240">
        <v>0</v>
      </c>
      <c r="J20" s="282">
        <v>0</v>
      </c>
      <c r="K20" s="282">
        <v>0</v>
      </c>
      <c r="L20" s="282">
        <v>0</v>
      </c>
    </row>
    <row r="21" spans="1:39" s="280" customFormat="1" ht="16.5" customHeight="1">
      <c r="A21" s="283">
        <v>9</v>
      </c>
      <c r="B21" s="77" t="s">
        <v>391</v>
      </c>
      <c r="C21" s="281">
        <f t="shared" si="3"/>
        <v>0</v>
      </c>
      <c r="D21" s="240">
        <v>0</v>
      </c>
      <c r="E21" s="240">
        <v>0</v>
      </c>
      <c r="F21" s="240">
        <v>0</v>
      </c>
      <c r="G21" s="240">
        <v>0</v>
      </c>
      <c r="H21" s="240">
        <v>0</v>
      </c>
      <c r="I21" s="240">
        <v>0</v>
      </c>
      <c r="J21" s="282">
        <v>0</v>
      </c>
      <c r="K21" s="282">
        <v>0</v>
      </c>
      <c r="L21" s="282">
        <v>0</v>
      </c>
      <c r="AJ21" s="280" t="s">
        <v>384</v>
      </c>
      <c r="AK21" s="280" t="s">
        <v>385</v>
      </c>
      <c r="AL21" s="280" t="s">
        <v>386</v>
      </c>
      <c r="AM21" s="208" t="s">
        <v>387</v>
      </c>
    </row>
    <row r="22" spans="1:39" s="280" customFormat="1" ht="16.5" customHeight="1">
      <c r="A22" s="283">
        <v>10</v>
      </c>
      <c r="B22" s="77" t="s">
        <v>392</v>
      </c>
      <c r="C22" s="281">
        <f t="shared" si="3"/>
        <v>1</v>
      </c>
      <c r="D22" s="240">
        <v>0</v>
      </c>
      <c r="E22" s="240">
        <v>1</v>
      </c>
      <c r="F22" s="240">
        <v>0</v>
      </c>
      <c r="G22" s="240">
        <v>0</v>
      </c>
      <c r="H22" s="240">
        <v>1</v>
      </c>
      <c r="I22" s="240">
        <v>0</v>
      </c>
      <c r="J22" s="282">
        <v>1</v>
      </c>
      <c r="K22" s="282">
        <v>0</v>
      </c>
      <c r="L22" s="282">
        <v>0</v>
      </c>
      <c r="AM22" s="208" t="s">
        <v>389</v>
      </c>
    </row>
    <row r="23" spans="1:12" s="280" customFormat="1" ht="16.5" customHeight="1">
      <c r="A23" s="283">
        <v>11</v>
      </c>
      <c r="B23" s="77" t="s">
        <v>394</v>
      </c>
      <c r="C23" s="281">
        <f t="shared" si="3"/>
        <v>0</v>
      </c>
      <c r="D23" s="240">
        <v>0</v>
      </c>
      <c r="E23" s="240">
        <v>0</v>
      </c>
      <c r="F23" s="240">
        <v>0</v>
      </c>
      <c r="G23" s="240">
        <v>0</v>
      </c>
      <c r="H23" s="240">
        <v>0</v>
      </c>
      <c r="I23" s="240">
        <v>0</v>
      </c>
      <c r="J23" s="282">
        <v>0</v>
      </c>
      <c r="K23" s="282">
        <v>0</v>
      </c>
      <c r="L23" s="282">
        <v>0</v>
      </c>
    </row>
    <row r="24" ht="9" customHeight="1">
      <c r="AJ24" s="242" t="s">
        <v>384</v>
      </c>
    </row>
    <row r="25" spans="1:36" ht="15.75" customHeight="1">
      <c r="A25" s="1312" t="s">
        <v>437</v>
      </c>
      <c r="B25" s="1312"/>
      <c r="C25" s="1312"/>
      <c r="D25" s="1312"/>
      <c r="E25" s="191"/>
      <c r="F25" s="1317" t="s">
        <v>395</v>
      </c>
      <c r="G25" s="1317"/>
      <c r="H25" s="1317"/>
      <c r="I25" s="1317"/>
      <c r="J25" s="1317"/>
      <c r="K25" s="1317"/>
      <c r="L25" s="1317"/>
      <c r="AJ25" s="199" t="s">
        <v>393</v>
      </c>
    </row>
    <row r="26" spans="1:44" ht="15" customHeight="1">
      <c r="A26" s="1302" t="s">
        <v>250</v>
      </c>
      <c r="B26" s="1302"/>
      <c r="C26" s="1302"/>
      <c r="D26" s="1302"/>
      <c r="E26" s="192"/>
      <c r="F26" s="1305" t="s">
        <v>251</v>
      </c>
      <c r="G26" s="1305"/>
      <c r="H26" s="1305"/>
      <c r="I26" s="1305"/>
      <c r="J26" s="1305"/>
      <c r="K26" s="1305"/>
      <c r="L26" s="1305"/>
      <c r="AR26" s="199"/>
    </row>
    <row r="27" spans="1:12" s="179" customFormat="1" ht="18.75">
      <c r="A27" s="1299"/>
      <c r="B27" s="1299"/>
      <c r="C27" s="1299"/>
      <c r="D27" s="1299"/>
      <c r="E27" s="191"/>
      <c r="F27" s="1300"/>
      <c r="G27" s="1300"/>
      <c r="H27" s="1300"/>
      <c r="I27" s="1300"/>
      <c r="J27" s="1300"/>
      <c r="K27" s="1300"/>
      <c r="L27" s="1300"/>
    </row>
    <row r="28" spans="1:35" ht="18">
      <c r="A28" s="196"/>
      <c r="B28" s="196"/>
      <c r="C28" s="191"/>
      <c r="D28" s="191"/>
      <c r="E28" s="191"/>
      <c r="F28" s="191"/>
      <c r="G28" s="191"/>
      <c r="H28" s="191"/>
      <c r="I28" s="191"/>
      <c r="J28" s="191"/>
      <c r="K28" s="191"/>
      <c r="L28" s="191"/>
      <c r="AG28" s="242" t="s">
        <v>396</v>
      </c>
      <c r="AI28" s="199">
        <f>82/88</f>
        <v>0.9318181818181818</v>
      </c>
    </row>
    <row r="29" spans="1:12" ht="18">
      <c r="A29" s="196"/>
      <c r="B29" s="1361" t="s">
        <v>399</v>
      </c>
      <c r="C29" s="1361"/>
      <c r="D29" s="191"/>
      <c r="E29" s="191"/>
      <c r="F29" s="191"/>
      <c r="G29" s="191"/>
      <c r="H29" s="1361" t="s">
        <v>399</v>
      </c>
      <c r="I29" s="1361"/>
      <c r="J29" s="1361"/>
      <c r="K29" s="191"/>
      <c r="L29" s="191"/>
    </row>
    <row r="30" spans="1:12" ht="13.5" customHeight="1">
      <c r="A30" s="196"/>
      <c r="B30" s="196"/>
      <c r="C30" s="191"/>
      <c r="D30" s="191"/>
      <c r="E30" s="191"/>
      <c r="F30" s="191"/>
      <c r="G30" s="191"/>
      <c r="H30" s="191"/>
      <c r="I30" s="191"/>
      <c r="J30" s="191"/>
      <c r="K30" s="191"/>
      <c r="L30" s="191"/>
    </row>
    <row r="31" spans="1:12" ht="13.5" customHeight="1" hidden="1">
      <c r="A31" s="196"/>
      <c r="B31" s="196"/>
      <c r="C31" s="191"/>
      <c r="D31" s="191"/>
      <c r="E31" s="191"/>
      <c r="F31" s="191"/>
      <c r="G31" s="191"/>
      <c r="H31" s="191"/>
      <c r="I31" s="191"/>
      <c r="J31" s="191"/>
      <c r="K31" s="191"/>
      <c r="L31" s="191"/>
    </row>
    <row r="32" spans="1:12" s="193" customFormat="1" ht="19.5" hidden="1">
      <c r="A32" s="287" t="s">
        <v>294</v>
      </c>
      <c r="B32" s="194"/>
      <c r="C32" s="195"/>
      <c r="D32" s="195"/>
      <c r="E32" s="195"/>
      <c r="F32" s="195"/>
      <c r="G32" s="195"/>
      <c r="H32" s="195"/>
      <c r="I32" s="195"/>
      <c r="J32" s="195"/>
      <c r="K32" s="195"/>
      <c r="L32" s="195"/>
    </row>
    <row r="33" spans="1:12" s="220" customFormat="1" ht="18.75" hidden="1">
      <c r="A33" s="246"/>
      <c r="B33" s="288" t="s">
        <v>295</v>
      </c>
      <c r="C33" s="288"/>
      <c r="D33" s="288"/>
      <c r="E33" s="245"/>
      <c r="F33" s="245"/>
      <c r="G33" s="245"/>
      <c r="H33" s="245"/>
      <c r="I33" s="245"/>
      <c r="J33" s="245"/>
      <c r="K33" s="245"/>
      <c r="L33" s="245"/>
    </row>
    <row r="34" spans="1:12" s="220" customFormat="1" ht="18.75" hidden="1">
      <c r="A34" s="246"/>
      <c r="B34" s="288" t="s">
        <v>296</v>
      </c>
      <c r="C34" s="288"/>
      <c r="D34" s="288"/>
      <c r="E34" s="288"/>
      <c r="F34" s="245"/>
      <c r="G34" s="245"/>
      <c r="H34" s="245"/>
      <c r="I34" s="245"/>
      <c r="J34" s="245"/>
      <c r="K34" s="245"/>
      <c r="L34" s="245"/>
    </row>
    <row r="35" spans="1:12" s="220" customFormat="1" ht="18.75" hidden="1">
      <c r="A35" s="246"/>
      <c r="B35" s="245" t="s">
        <v>297</v>
      </c>
      <c r="C35" s="245"/>
      <c r="D35" s="245"/>
      <c r="E35" s="245"/>
      <c r="F35" s="245"/>
      <c r="G35" s="245"/>
      <c r="H35" s="245"/>
      <c r="I35" s="245"/>
      <c r="J35" s="245"/>
      <c r="K35" s="245"/>
      <c r="L35" s="245"/>
    </row>
    <row r="36" spans="1:12" ht="18">
      <c r="A36" s="196"/>
      <c r="B36" s="196"/>
      <c r="C36" s="191"/>
      <c r="D36" s="191"/>
      <c r="E36" s="191"/>
      <c r="F36" s="191"/>
      <c r="G36" s="191"/>
      <c r="H36" s="191"/>
      <c r="I36" s="191"/>
      <c r="J36" s="191"/>
      <c r="K36" s="191"/>
      <c r="L36" s="191"/>
    </row>
    <row r="37" spans="1:13" ht="18.75">
      <c r="A37" s="1205" t="s">
        <v>352</v>
      </c>
      <c r="B37" s="1205"/>
      <c r="C37" s="1205"/>
      <c r="D37" s="1205"/>
      <c r="E37" s="219"/>
      <c r="F37" s="1206" t="s">
        <v>353</v>
      </c>
      <c r="G37" s="1206"/>
      <c r="H37" s="1206"/>
      <c r="I37" s="1206"/>
      <c r="J37" s="1206"/>
      <c r="K37" s="1206"/>
      <c r="L37" s="1206"/>
      <c r="M37" s="136"/>
    </row>
    <row r="38" spans="1:12" ht="18">
      <c r="A38" s="196"/>
      <c r="B38" s="196"/>
      <c r="C38" s="191"/>
      <c r="D38" s="191"/>
      <c r="E38" s="191"/>
      <c r="F38" s="191"/>
      <c r="G38" s="191"/>
      <c r="H38" s="191"/>
      <c r="I38" s="191"/>
      <c r="J38" s="191"/>
      <c r="K38" s="191"/>
      <c r="L38" s="191"/>
    </row>
  </sheetData>
  <sheetProtection/>
  <mergeCells count="27">
    <mergeCell ref="A37:D37"/>
    <mergeCell ref="J4:L4"/>
    <mergeCell ref="F37:L37"/>
    <mergeCell ref="F27:L27"/>
    <mergeCell ref="A7:B7"/>
    <mergeCell ref="C5:C6"/>
    <mergeCell ref="A10:B10"/>
    <mergeCell ref="A26:D26"/>
    <mergeCell ref="F26:L26"/>
    <mergeCell ref="A27:D27"/>
    <mergeCell ref="A1:C1"/>
    <mergeCell ref="J3:L3"/>
    <mergeCell ref="D1:I2"/>
    <mergeCell ref="J1:L1"/>
    <mergeCell ref="A2:C2"/>
    <mergeCell ref="J2:L2"/>
    <mergeCell ref="C3:I3"/>
    <mergeCell ref="B29:C29"/>
    <mergeCell ref="H29:J29"/>
    <mergeCell ref="A5:B6"/>
    <mergeCell ref="A25:D25"/>
    <mergeCell ref="J5:L5"/>
    <mergeCell ref="H5:I5"/>
    <mergeCell ref="D5:G5"/>
    <mergeCell ref="F25:L25"/>
    <mergeCell ref="A9:B9"/>
    <mergeCell ref="A8:B8"/>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42" customWidth="1"/>
    <col min="2" max="2" width="20.875" style="242" customWidth="1"/>
    <col min="3" max="3" width="11.875" style="242" customWidth="1"/>
    <col min="4" max="4" width="9.875" style="242" customWidth="1"/>
    <col min="5" max="5" width="9.375" style="242" customWidth="1"/>
    <col min="6" max="6" width="9.625" style="242" customWidth="1"/>
    <col min="7" max="7" width="10.125" style="242" customWidth="1"/>
    <col min="8" max="9" width="10.625" style="242" customWidth="1"/>
    <col min="10" max="10" width="12.50390625" style="242" customWidth="1"/>
    <col min="11" max="11" width="8.875" style="242" customWidth="1"/>
    <col min="12" max="12" width="10.625" style="314" customWidth="1"/>
    <col min="13" max="13" width="7.375" style="242" customWidth="1"/>
    <col min="14" max="28" width="8.00390625" style="242" customWidth="1"/>
    <col min="29" max="29" width="8.375" style="242" customWidth="1"/>
    <col min="30" max="30" width="8.00390625" style="242" customWidth="1"/>
    <col min="31" max="31" width="11.25390625" style="242" customWidth="1"/>
    <col min="32" max="32" width="13.50390625" style="242" customWidth="1"/>
    <col min="33" max="16384" width="8.00390625" style="242" customWidth="1"/>
  </cols>
  <sheetData>
    <row r="1" spans="1:12" ht="24" customHeight="1">
      <c r="A1" s="1380" t="s">
        <v>298</v>
      </c>
      <c r="B1" s="1380"/>
      <c r="C1" s="1380"/>
      <c r="D1" s="1370" t="s">
        <v>475</v>
      </c>
      <c r="E1" s="1370"/>
      <c r="F1" s="1370"/>
      <c r="G1" s="1370"/>
      <c r="H1" s="1370"/>
      <c r="I1" s="179"/>
      <c r="J1" s="180" t="s">
        <v>469</v>
      </c>
      <c r="K1" s="289"/>
      <c r="L1" s="289"/>
    </row>
    <row r="2" spans="1:12" ht="15.75" customHeight="1">
      <c r="A2" s="1384" t="s">
        <v>410</v>
      </c>
      <c r="B2" s="1384"/>
      <c r="C2" s="1384"/>
      <c r="D2" s="1370"/>
      <c r="E2" s="1370"/>
      <c r="F2" s="1370"/>
      <c r="G2" s="1370"/>
      <c r="H2" s="1370"/>
      <c r="I2" s="179"/>
      <c r="J2" s="290" t="s">
        <v>411</v>
      </c>
      <c r="K2" s="290"/>
      <c r="L2" s="290"/>
    </row>
    <row r="3" spans="1:12" ht="18.75" customHeight="1">
      <c r="A3" s="1290" t="s">
        <v>362</v>
      </c>
      <c r="B3" s="1290"/>
      <c r="C3" s="1290"/>
      <c r="D3" s="176"/>
      <c r="E3" s="176"/>
      <c r="F3" s="176"/>
      <c r="G3" s="176"/>
      <c r="H3" s="176"/>
      <c r="I3" s="179"/>
      <c r="J3" s="183" t="s">
        <v>468</v>
      </c>
      <c r="K3" s="183"/>
      <c r="L3" s="183"/>
    </row>
    <row r="4" spans="1:12" ht="15.75" customHeight="1">
      <c r="A4" s="1381" t="s">
        <v>438</v>
      </c>
      <c r="B4" s="1381"/>
      <c r="C4" s="1381"/>
      <c r="D4" s="1396"/>
      <c r="E4" s="1396"/>
      <c r="F4" s="1396"/>
      <c r="G4" s="1396"/>
      <c r="H4" s="1396"/>
      <c r="I4" s="179"/>
      <c r="J4" s="291" t="s">
        <v>403</v>
      </c>
      <c r="K4" s="291"/>
      <c r="L4" s="291"/>
    </row>
    <row r="5" spans="1:12" ht="15.75">
      <c r="A5" s="1385"/>
      <c r="B5" s="1385"/>
      <c r="C5" s="175"/>
      <c r="D5" s="179"/>
      <c r="E5" s="179"/>
      <c r="F5" s="179"/>
      <c r="G5" s="179"/>
      <c r="H5" s="292"/>
      <c r="I5" s="1397" t="s">
        <v>439</v>
      </c>
      <c r="J5" s="1397"/>
      <c r="K5" s="1397"/>
      <c r="L5" s="1397"/>
    </row>
    <row r="6" spans="1:12" ht="18.75" customHeight="1">
      <c r="A6" s="1282" t="s">
        <v>72</v>
      </c>
      <c r="B6" s="1283"/>
      <c r="C6" s="1392" t="s">
        <v>299</v>
      </c>
      <c r="D6" s="1303" t="s">
        <v>300</v>
      </c>
      <c r="E6" s="1395"/>
      <c r="F6" s="1304"/>
      <c r="G6" s="1303" t="s">
        <v>301</v>
      </c>
      <c r="H6" s="1395"/>
      <c r="I6" s="1395"/>
      <c r="J6" s="1395"/>
      <c r="K6" s="1395"/>
      <c r="L6" s="1304"/>
    </row>
    <row r="7" spans="1:12" ht="15.75" customHeight="1">
      <c r="A7" s="1284"/>
      <c r="B7" s="1285"/>
      <c r="C7" s="1394"/>
      <c r="D7" s="1303" t="s">
        <v>7</v>
      </c>
      <c r="E7" s="1395"/>
      <c r="F7" s="1304"/>
      <c r="G7" s="1392" t="s">
        <v>37</v>
      </c>
      <c r="H7" s="1303" t="s">
        <v>7</v>
      </c>
      <c r="I7" s="1395"/>
      <c r="J7" s="1395"/>
      <c r="K7" s="1395"/>
      <c r="L7" s="1304"/>
    </row>
    <row r="8" spans="1:12" ht="14.25" customHeight="1">
      <c r="A8" s="1284"/>
      <c r="B8" s="1285"/>
      <c r="C8" s="1394"/>
      <c r="D8" s="1392" t="s">
        <v>302</v>
      </c>
      <c r="E8" s="1392" t="s">
        <v>303</v>
      </c>
      <c r="F8" s="1392" t="s">
        <v>304</v>
      </c>
      <c r="G8" s="1394"/>
      <c r="H8" s="1392" t="s">
        <v>305</v>
      </c>
      <c r="I8" s="1392" t="s">
        <v>306</v>
      </c>
      <c r="J8" s="1392" t="s">
        <v>307</v>
      </c>
      <c r="K8" s="1392" t="s">
        <v>308</v>
      </c>
      <c r="L8" s="1392" t="s">
        <v>309</v>
      </c>
    </row>
    <row r="9" spans="1:12" ht="77.25" customHeight="1">
      <c r="A9" s="1286"/>
      <c r="B9" s="1287"/>
      <c r="C9" s="1393"/>
      <c r="D9" s="1393"/>
      <c r="E9" s="1393"/>
      <c r="F9" s="1393"/>
      <c r="G9" s="1393"/>
      <c r="H9" s="1393"/>
      <c r="I9" s="1393"/>
      <c r="J9" s="1393"/>
      <c r="K9" s="1393"/>
      <c r="L9" s="1393"/>
    </row>
    <row r="10" spans="1:12" s="280" customFormat="1" ht="16.5" customHeight="1">
      <c r="A10" s="1386" t="s">
        <v>6</v>
      </c>
      <c r="B10" s="1387"/>
      <c r="C10" s="229">
        <v>1</v>
      </c>
      <c r="D10" s="229">
        <v>2</v>
      </c>
      <c r="E10" s="229">
        <v>3</v>
      </c>
      <c r="F10" s="229">
        <v>4</v>
      </c>
      <c r="G10" s="229">
        <v>5</v>
      </c>
      <c r="H10" s="229">
        <v>6</v>
      </c>
      <c r="I10" s="229">
        <v>7</v>
      </c>
      <c r="J10" s="229">
        <v>8</v>
      </c>
      <c r="K10" s="230" t="s">
        <v>78</v>
      </c>
      <c r="L10" s="230" t="s">
        <v>101</v>
      </c>
    </row>
    <row r="11" spans="1:12" s="280" customFormat="1" ht="16.5" customHeight="1">
      <c r="A11" s="1390" t="s">
        <v>407</v>
      </c>
      <c r="B11" s="1391"/>
      <c r="C11" s="232">
        <f aca="true" t="shared" si="0" ref="C11:L11">C13-C12</f>
        <v>-8</v>
      </c>
      <c r="D11" s="232">
        <f t="shared" si="0"/>
        <v>0</v>
      </c>
      <c r="E11" s="232">
        <f t="shared" si="0"/>
        <v>-1</v>
      </c>
      <c r="F11" s="232">
        <f t="shared" si="0"/>
        <v>-7</v>
      </c>
      <c r="G11" s="232">
        <f t="shared" si="0"/>
        <v>-6</v>
      </c>
      <c r="H11" s="232">
        <f t="shared" si="0"/>
        <v>0</v>
      </c>
      <c r="I11" s="232">
        <f t="shared" si="0"/>
        <v>0</v>
      </c>
      <c r="J11" s="232">
        <f t="shared" si="0"/>
        <v>0</v>
      </c>
      <c r="K11" s="232">
        <f t="shared" si="0"/>
        <v>-6</v>
      </c>
      <c r="L11" s="232">
        <f t="shared" si="0"/>
        <v>0</v>
      </c>
    </row>
    <row r="12" spans="1:12" s="280" customFormat="1" ht="16.5" customHeight="1">
      <c r="A12" s="1388" t="s">
        <v>408</v>
      </c>
      <c r="B12" s="1389"/>
      <c r="C12" s="233">
        <v>12</v>
      </c>
      <c r="D12" s="233">
        <v>0</v>
      </c>
      <c r="E12" s="233">
        <v>1</v>
      </c>
      <c r="F12" s="233">
        <v>11</v>
      </c>
      <c r="G12" s="233">
        <v>10</v>
      </c>
      <c r="H12" s="233">
        <v>0</v>
      </c>
      <c r="I12" s="233">
        <v>0</v>
      </c>
      <c r="J12" s="233">
        <v>0</v>
      </c>
      <c r="K12" s="233">
        <v>6</v>
      </c>
      <c r="L12" s="233">
        <v>4</v>
      </c>
    </row>
    <row r="13" spans="1:32" s="280" customFormat="1" ht="16.5" customHeight="1">
      <c r="A13" s="1382" t="s">
        <v>37</v>
      </c>
      <c r="B13" s="1383"/>
      <c r="C13" s="235">
        <f>C14+C15</f>
        <v>4</v>
      </c>
      <c r="D13" s="235">
        <f>D14+D15</f>
        <v>0</v>
      </c>
      <c r="E13" s="235">
        <f>E14+E15</f>
        <v>0</v>
      </c>
      <c r="F13" s="235">
        <f>F14+F15</f>
        <v>4</v>
      </c>
      <c r="G13" s="235">
        <f aca="true" t="shared" si="1" ref="G13:G26">H13+I13+J13+K13+L13</f>
        <v>4</v>
      </c>
      <c r="H13" s="235">
        <f>H14+H15</f>
        <v>0</v>
      </c>
      <c r="I13" s="235">
        <f>I14+I15</f>
        <v>0</v>
      </c>
      <c r="J13" s="235">
        <f>J14+J15</f>
        <v>0</v>
      </c>
      <c r="K13" s="235">
        <f>K14+K15</f>
        <v>0</v>
      </c>
      <c r="L13" s="235">
        <f>L14+L15</f>
        <v>4</v>
      </c>
      <c r="AF13" s="280" t="s">
        <v>376</v>
      </c>
    </row>
    <row r="14" spans="1:37" s="280" customFormat="1" ht="16.5" customHeight="1">
      <c r="A14" s="283" t="s">
        <v>0</v>
      </c>
      <c r="B14" s="207" t="s">
        <v>228</v>
      </c>
      <c r="C14" s="235">
        <f>D14+E14+F14</f>
        <v>0</v>
      </c>
      <c r="D14" s="281">
        <f>D15+D16</f>
        <v>0</v>
      </c>
      <c r="E14" s="240">
        <v>0</v>
      </c>
      <c r="F14" s="240">
        <v>0</v>
      </c>
      <c r="G14" s="235">
        <f t="shared" si="1"/>
        <v>0</v>
      </c>
      <c r="H14" s="293">
        <v>0</v>
      </c>
      <c r="I14" s="293">
        <v>0</v>
      </c>
      <c r="J14" s="282">
        <v>0</v>
      </c>
      <c r="K14" s="282">
        <v>0</v>
      </c>
      <c r="L14" s="282">
        <v>0</v>
      </c>
      <c r="AK14" s="208"/>
    </row>
    <row r="15" spans="1:13" s="280" customFormat="1" ht="16.5" customHeight="1">
      <c r="A15" s="209" t="s">
        <v>1</v>
      </c>
      <c r="B15" s="207" t="s">
        <v>19</v>
      </c>
      <c r="C15" s="235">
        <f>C16+C17+C18+C19+C20+C21+C22+C23+C24+C25+C26</f>
        <v>4</v>
      </c>
      <c r="D15" s="235">
        <f>D16+D17+D18+D19+D20+D21+D22+D23+D24+D25+D26</f>
        <v>0</v>
      </c>
      <c r="E15" s="235">
        <f>E16+E17+E18+E19+E20+E21+E22+E23+E24+E25+E26</f>
        <v>0</v>
      </c>
      <c r="F15" s="235">
        <f>F16+F17+F18+F19+F20+F21+F22+F23+F24+F25+F26</f>
        <v>4</v>
      </c>
      <c r="G15" s="235">
        <f t="shared" si="1"/>
        <v>4</v>
      </c>
      <c r="H15" s="235">
        <f>H16+H17+H18+H19+H20+H21+H22+H23+H24+H25+H26</f>
        <v>0</v>
      </c>
      <c r="I15" s="235">
        <f>I16+I17+I18+I19+I20+I21+I22+I23+I24+I25+I26</f>
        <v>0</v>
      </c>
      <c r="J15" s="235">
        <f>J16+J17+J18+J19+J20+J21+J22+J23+J24+J25+J26</f>
        <v>0</v>
      </c>
      <c r="K15" s="235">
        <f>K16+K17+K18+K19+K20+K21+K22+K23+K24+K25+K26</f>
        <v>0</v>
      </c>
      <c r="L15" s="235">
        <f>L16+L17+L18+L19+L20+L21+L22+L23+L24+L25+L26</f>
        <v>4</v>
      </c>
      <c r="M15" s="294"/>
    </row>
    <row r="16" spans="1:38" s="280" customFormat="1" ht="15.75" customHeight="1">
      <c r="A16" s="209">
        <v>1</v>
      </c>
      <c r="B16" s="77" t="s">
        <v>377</v>
      </c>
      <c r="C16" s="235">
        <f aca="true" t="shared" si="2" ref="C16:C26">D16+E16+F16</f>
        <v>0</v>
      </c>
      <c r="D16" s="237">
        <v>0</v>
      </c>
      <c r="E16" s="237">
        <v>0</v>
      </c>
      <c r="F16" s="237">
        <v>0</v>
      </c>
      <c r="G16" s="235">
        <f t="shared" si="1"/>
        <v>0</v>
      </c>
      <c r="H16" s="237">
        <v>0</v>
      </c>
      <c r="I16" s="237">
        <v>0</v>
      </c>
      <c r="J16" s="295">
        <v>0</v>
      </c>
      <c r="K16" s="295">
        <v>0</v>
      </c>
      <c r="L16" s="295">
        <v>0</v>
      </c>
      <c r="M16" s="294"/>
      <c r="AL16" s="208"/>
    </row>
    <row r="17" spans="1:32" s="280" customFormat="1" ht="15.75" customHeight="1">
      <c r="A17" s="209">
        <v>2</v>
      </c>
      <c r="B17" s="77" t="s">
        <v>378</v>
      </c>
      <c r="C17" s="235">
        <f t="shared" si="2"/>
        <v>1</v>
      </c>
      <c r="D17" s="240">
        <v>0</v>
      </c>
      <c r="E17" s="240">
        <v>0</v>
      </c>
      <c r="F17" s="240">
        <v>1</v>
      </c>
      <c r="G17" s="235">
        <f t="shared" si="1"/>
        <v>1</v>
      </c>
      <c r="H17" s="240">
        <v>0</v>
      </c>
      <c r="I17" s="240">
        <v>0</v>
      </c>
      <c r="J17" s="282">
        <v>0</v>
      </c>
      <c r="K17" s="282">
        <v>0</v>
      </c>
      <c r="L17" s="282">
        <v>1</v>
      </c>
      <c r="M17" s="294"/>
      <c r="AF17" s="208" t="s">
        <v>379</v>
      </c>
    </row>
    <row r="18" spans="1:14" s="280" customFormat="1" ht="15.75" customHeight="1">
      <c r="A18" s="209">
        <v>3</v>
      </c>
      <c r="B18" s="77" t="s">
        <v>380</v>
      </c>
      <c r="C18" s="235">
        <f t="shared" si="2"/>
        <v>0</v>
      </c>
      <c r="D18" s="284">
        <v>0</v>
      </c>
      <c r="E18" s="284">
        <v>0</v>
      </c>
      <c r="F18" s="284">
        <v>0</v>
      </c>
      <c r="G18" s="235">
        <f t="shared" si="1"/>
        <v>0</v>
      </c>
      <c r="H18" s="284">
        <v>0</v>
      </c>
      <c r="I18" s="284">
        <v>0</v>
      </c>
      <c r="J18" s="285">
        <v>0</v>
      </c>
      <c r="K18" s="285">
        <v>0</v>
      </c>
      <c r="L18" s="285">
        <v>0</v>
      </c>
      <c r="M18" s="294"/>
      <c r="N18" s="187"/>
    </row>
    <row r="19" spans="1:13" s="280" customFormat="1" ht="15.75" customHeight="1">
      <c r="A19" s="209">
        <v>4</v>
      </c>
      <c r="B19" s="77" t="s">
        <v>381</v>
      </c>
      <c r="C19" s="235">
        <f t="shared" si="2"/>
        <v>0</v>
      </c>
      <c r="D19" s="284">
        <v>0</v>
      </c>
      <c r="E19" s="284">
        <v>0</v>
      </c>
      <c r="F19" s="284">
        <v>0</v>
      </c>
      <c r="G19" s="235">
        <f t="shared" si="1"/>
        <v>0</v>
      </c>
      <c r="H19" s="284">
        <v>0</v>
      </c>
      <c r="I19" s="284">
        <v>0</v>
      </c>
      <c r="J19" s="285">
        <v>0</v>
      </c>
      <c r="K19" s="285">
        <v>0</v>
      </c>
      <c r="L19" s="285">
        <v>0</v>
      </c>
      <c r="M19" s="294"/>
    </row>
    <row r="20" spans="1:13" s="280" customFormat="1" ht="15.75" customHeight="1">
      <c r="A20" s="209">
        <v>5</v>
      </c>
      <c r="B20" s="77" t="s">
        <v>382</v>
      </c>
      <c r="C20" s="235">
        <f t="shared" si="2"/>
        <v>1</v>
      </c>
      <c r="D20" s="240">
        <v>0</v>
      </c>
      <c r="E20" s="240">
        <v>0</v>
      </c>
      <c r="F20" s="240">
        <v>1</v>
      </c>
      <c r="G20" s="235">
        <f t="shared" si="1"/>
        <v>1</v>
      </c>
      <c r="H20" s="240">
        <v>0</v>
      </c>
      <c r="I20" s="240">
        <v>0</v>
      </c>
      <c r="J20" s="282">
        <v>0</v>
      </c>
      <c r="K20" s="282">
        <v>0</v>
      </c>
      <c r="L20" s="296">
        <v>1</v>
      </c>
      <c r="M20" s="294"/>
    </row>
    <row r="21" spans="1:39" s="280" customFormat="1" ht="15.75" customHeight="1">
      <c r="A21" s="209">
        <v>6</v>
      </c>
      <c r="B21" s="77" t="s">
        <v>383</v>
      </c>
      <c r="C21" s="235">
        <f t="shared" si="2"/>
        <v>0</v>
      </c>
      <c r="D21" s="240">
        <v>0</v>
      </c>
      <c r="E21" s="240">
        <v>0</v>
      </c>
      <c r="F21" s="240">
        <v>0</v>
      </c>
      <c r="G21" s="235">
        <f t="shared" si="1"/>
        <v>0</v>
      </c>
      <c r="H21" s="240">
        <v>0</v>
      </c>
      <c r="I21" s="240">
        <v>0</v>
      </c>
      <c r="J21" s="282">
        <v>0</v>
      </c>
      <c r="K21" s="282">
        <v>0</v>
      </c>
      <c r="L21" s="282">
        <v>0</v>
      </c>
      <c r="M21" s="294"/>
      <c r="AJ21" s="280" t="s">
        <v>384</v>
      </c>
      <c r="AK21" s="280" t="s">
        <v>385</v>
      </c>
      <c r="AL21" s="280" t="s">
        <v>386</v>
      </c>
      <c r="AM21" s="208" t="s">
        <v>387</v>
      </c>
    </row>
    <row r="22" spans="1:39" s="280" customFormat="1" ht="15.75" customHeight="1">
      <c r="A22" s="209">
        <v>7</v>
      </c>
      <c r="B22" s="77" t="s">
        <v>388</v>
      </c>
      <c r="C22" s="235">
        <f t="shared" si="2"/>
        <v>0</v>
      </c>
      <c r="D22" s="240">
        <v>0</v>
      </c>
      <c r="E22" s="240">
        <v>0</v>
      </c>
      <c r="F22" s="240">
        <v>0</v>
      </c>
      <c r="G22" s="235">
        <f t="shared" si="1"/>
        <v>0</v>
      </c>
      <c r="H22" s="240">
        <v>0</v>
      </c>
      <c r="I22" s="240">
        <v>0</v>
      </c>
      <c r="J22" s="282">
        <v>0</v>
      </c>
      <c r="K22" s="282">
        <v>0</v>
      </c>
      <c r="L22" s="282">
        <v>0</v>
      </c>
      <c r="M22" s="294"/>
      <c r="N22" s="187"/>
      <c r="AM22" s="208" t="s">
        <v>389</v>
      </c>
    </row>
    <row r="23" spans="1:13" s="280" customFormat="1" ht="15.75" customHeight="1">
      <c r="A23" s="209">
        <v>8</v>
      </c>
      <c r="B23" s="77" t="s">
        <v>390</v>
      </c>
      <c r="C23" s="235">
        <f t="shared" si="2"/>
        <v>1</v>
      </c>
      <c r="D23" s="240">
        <v>0</v>
      </c>
      <c r="E23" s="240">
        <v>0</v>
      </c>
      <c r="F23" s="240">
        <v>1</v>
      </c>
      <c r="G23" s="235">
        <f t="shared" si="1"/>
        <v>1</v>
      </c>
      <c r="H23" s="240">
        <v>0</v>
      </c>
      <c r="I23" s="240">
        <v>0</v>
      </c>
      <c r="J23" s="282">
        <v>0</v>
      </c>
      <c r="K23" s="282">
        <v>0</v>
      </c>
      <c r="L23" s="285">
        <v>1</v>
      </c>
      <c r="M23" s="294"/>
    </row>
    <row r="24" spans="1:36" s="280" customFormat="1" ht="15.75" customHeight="1">
      <c r="A24" s="209">
        <v>9</v>
      </c>
      <c r="B24" s="77" t="s">
        <v>391</v>
      </c>
      <c r="C24" s="235">
        <f t="shared" si="2"/>
        <v>0</v>
      </c>
      <c r="D24" s="240">
        <v>0</v>
      </c>
      <c r="E24" s="240">
        <v>0</v>
      </c>
      <c r="F24" s="240">
        <v>0</v>
      </c>
      <c r="G24" s="235">
        <f t="shared" si="1"/>
        <v>0</v>
      </c>
      <c r="H24" s="240">
        <v>0</v>
      </c>
      <c r="I24" s="240">
        <v>0</v>
      </c>
      <c r="J24" s="282">
        <v>0</v>
      </c>
      <c r="K24" s="282">
        <v>0</v>
      </c>
      <c r="L24" s="282">
        <v>0</v>
      </c>
      <c r="M24" s="294"/>
      <c r="AJ24" s="280" t="s">
        <v>384</v>
      </c>
    </row>
    <row r="25" spans="1:36" s="280" customFormat="1" ht="15.75" customHeight="1">
      <c r="A25" s="209">
        <v>10</v>
      </c>
      <c r="B25" s="77" t="s">
        <v>392</v>
      </c>
      <c r="C25" s="235">
        <f t="shared" si="2"/>
        <v>1</v>
      </c>
      <c r="D25" s="240">
        <v>0</v>
      </c>
      <c r="E25" s="240">
        <v>0</v>
      </c>
      <c r="F25" s="240">
        <v>1</v>
      </c>
      <c r="G25" s="235">
        <f t="shared" si="1"/>
        <v>1</v>
      </c>
      <c r="H25" s="240">
        <v>0</v>
      </c>
      <c r="I25" s="240">
        <v>0</v>
      </c>
      <c r="J25" s="282">
        <v>0</v>
      </c>
      <c r="K25" s="282">
        <v>0</v>
      </c>
      <c r="L25" s="282">
        <v>1</v>
      </c>
      <c r="M25" s="294"/>
      <c r="AJ25" s="208" t="s">
        <v>393</v>
      </c>
    </row>
    <row r="26" spans="1:44" s="280" customFormat="1" ht="15.75" customHeight="1">
      <c r="A26" s="209">
        <v>11</v>
      </c>
      <c r="B26" s="77" t="s">
        <v>394</v>
      </c>
      <c r="C26" s="235">
        <f t="shared" si="2"/>
        <v>0</v>
      </c>
      <c r="D26" s="240">
        <v>0</v>
      </c>
      <c r="E26" s="240">
        <v>0</v>
      </c>
      <c r="F26" s="240">
        <v>0</v>
      </c>
      <c r="G26" s="235">
        <f t="shared" si="1"/>
        <v>0</v>
      </c>
      <c r="H26" s="240">
        <v>0</v>
      </c>
      <c r="I26" s="240">
        <v>0</v>
      </c>
      <c r="J26" s="282">
        <v>0</v>
      </c>
      <c r="K26" s="282">
        <v>0</v>
      </c>
      <c r="L26" s="282">
        <v>0</v>
      </c>
      <c r="AR26" s="208"/>
    </row>
    <row r="27" spans="1:12" s="280" customFormat="1" ht="8.25" customHeight="1">
      <c r="A27" s="297"/>
      <c r="B27" s="298"/>
      <c r="C27" s="299"/>
      <c r="D27" s="299"/>
      <c r="E27" s="299"/>
      <c r="F27" s="299"/>
      <c r="G27" s="299"/>
      <c r="H27" s="300"/>
      <c r="I27" s="300"/>
      <c r="J27" s="301"/>
      <c r="K27" s="301"/>
      <c r="L27" s="302"/>
    </row>
    <row r="28" spans="1:35" ht="15.75" customHeight="1">
      <c r="A28" s="1312" t="s">
        <v>395</v>
      </c>
      <c r="B28" s="1312"/>
      <c r="C28" s="1312"/>
      <c r="D28" s="1312"/>
      <c r="E28" s="1312"/>
      <c r="F28" s="191"/>
      <c r="G28" s="190"/>
      <c r="H28" s="303" t="s">
        <v>440</v>
      </c>
      <c r="I28" s="304"/>
      <c r="J28" s="304"/>
      <c r="K28" s="304"/>
      <c r="L28" s="304"/>
      <c r="AG28" s="242" t="s">
        <v>396</v>
      </c>
      <c r="AI28" s="199">
        <f>82/88</f>
        <v>0.9318181818181818</v>
      </c>
    </row>
    <row r="29" spans="1:12" ht="15" customHeight="1">
      <c r="A29" s="1302" t="s">
        <v>4</v>
      </c>
      <c r="B29" s="1302"/>
      <c r="C29" s="1302"/>
      <c r="D29" s="1302"/>
      <c r="E29" s="1302"/>
      <c r="F29" s="191"/>
      <c r="G29" s="192"/>
      <c r="H29" s="1305" t="s">
        <v>251</v>
      </c>
      <c r="I29" s="1305"/>
      <c r="J29" s="1305"/>
      <c r="K29" s="1305"/>
      <c r="L29" s="1305"/>
    </row>
    <row r="30" spans="1:14" s="179" customFormat="1" ht="18.75">
      <c r="A30" s="1299"/>
      <c r="B30" s="1299"/>
      <c r="C30" s="1299"/>
      <c r="D30" s="1299"/>
      <c r="E30" s="1299"/>
      <c r="F30" s="305"/>
      <c r="G30" s="191"/>
      <c r="H30" s="1300"/>
      <c r="I30" s="1300"/>
      <c r="J30" s="1300"/>
      <c r="K30" s="1300"/>
      <c r="L30" s="1300"/>
      <c r="M30" s="306"/>
      <c r="N30" s="306"/>
    </row>
    <row r="31" spans="1:12" ht="18">
      <c r="A31" s="191"/>
      <c r="B31" s="191"/>
      <c r="C31" s="191"/>
      <c r="D31" s="191"/>
      <c r="E31" s="191"/>
      <c r="F31" s="191"/>
      <c r="G31" s="191"/>
      <c r="H31" s="191"/>
      <c r="I31" s="191"/>
      <c r="J31" s="191"/>
      <c r="K31" s="191"/>
      <c r="L31" s="307"/>
    </row>
    <row r="32" spans="1:12" ht="18">
      <c r="A32" s="191"/>
      <c r="B32" s="1361" t="s">
        <v>399</v>
      </c>
      <c r="C32" s="1361"/>
      <c r="D32" s="1361"/>
      <c r="E32" s="1361"/>
      <c r="F32" s="191"/>
      <c r="G32" s="191"/>
      <c r="H32" s="191"/>
      <c r="I32" s="1361" t="s">
        <v>399</v>
      </c>
      <c r="J32" s="1361"/>
      <c r="K32" s="1361"/>
      <c r="L32" s="307"/>
    </row>
    <row r="33" spans="1:12" ht="10.5" customHeight="1">
      <c r="A33" s="191"/>
      <c r="B33" s="191"/>
      <c r="C33" s="308" t="s">
        <v>398</v>
      </c>
      <c r="D33" s="308"/>
      <c r="E33" s="308"/>
      <c r="F33" s="308"/>
      <c r="G33" s="308"/>
      <c r="H33" s="308"/>
      <c r="I33" s="308"/>
      <c r="J33" s="309" t="s">
        <v>398</v>
      </c>
      <c r="K33" s="308"/>
      <c r="L33" s="308"/>
    </row>
    <row r="34" spans="1:12" ht="18" hidden="1">
      <c r="A34" s="191"/>
      <c r="B34" s="191"/>
      <c r="C34" s="191"/>
      <c r="D34" s="191"/>
      <c r="E34" s="191"/>
      <c r="F34" s="191"/>
      <c r="G34" s="191"/>
      <c r="H34" s="191"/>
      <c r="I34" s="191"/>
      <c r="J34" s="191"/>
      <c r="K34" s="191"/>
      <c r="L34" s="307"/>
    </row>
    <row r="35" spans="1:12" ht="18">
      <c r="A35" s="191"/>
      <c r="B35" s="191"/>
      <c r="C35" s="191"/>
      <c r="D35" s="191"/>
      <c r="E35" s="191"/>
      <c r="F35" s="191"/>
      <c r="G35" s="191"/>
      <c r="H35" s="191"/>
      <c r="I35" s="191"/>
      <c r="J35" s="191"/>
      <c r="K35" s="191"/>
      <c r="L35" s="307"/>
    </row>
    <row r="36" spans="1:12" ht="12.75" customHeight="1">
      <c r="A36" s="191"/>
      <c r="B36" s="191"/>
      <c r="C36" s="191"/>
      <c r="D36" s="191"/>
      <c r="E36" s="191"/>
      <c r="F36" s="191"/>
      <c r="G36" s="191"/>
      <c r="H36" s="191"/>
      <c r="I36" s="310"/>
      <c r="J36" s="310"/>
      <c r="K36" s="310"/>
      <c r="L36" s="310"/>
    </row>
    <row r="37" spans="1:12" ht="12.75" customHeight="1" hidden="1">
      <c r="A37" s="191"/>
      <c r="B37" s="191"/>
      <c r="C37" s="191"/>
      <c r="D37" s="191"/>
      <c r="E37" s="191"/>
      <c r="F37" s="191"/>
      <c r="G37" s="191"/>
      <c r="H37" s="310"/>
      <c r="I37" s="310"/>
      <c r="J37" s="310"/>
      <c r="K37" s="310"/>
      <c r="L37" s="310"/>
    </row>
    <row r="38" spans="1:12" ht="12.75" customHeight="1" hidden="1">
      <c r="A38" s="191"/>
      <c r="B38" s="191"/>
      <c r="C38" s="191"/>
      <c r="D38" s="191"/>
      <c r="E38" s="191"/>
      <c r="F38" s="191"/>
      <c r="G38" s="191"/>
      <c r="H38" s="310"/>
      <c r="I38" s="310"/>
      <c r="J38" s="310"/>
      <c r="K38" s="310"/>
      <c r="L38" s="310"/>
    </row>
    <row r="39" spans="1:12" ht="12.75" customHeight="1" hidden="1">
      <c r="A39" s="311" t="s">
        <v>47</v>
      </c>
      <c r="B39" s="191"/>
      <c r="C39" s="191"/>
      <c r="D39" s="191"/>
      <c r="E39" s="191"/>
      <c r="F39" s="191"/>
      <c r="G39" s="191"/>
      <c r="H39" s="310"/>
      <c r="I39" s="310"/>
      <c r="J39" s="310"/>
      <c r="K39" s="310"/>
      <c r="L39" s="310"/>
    </row>
    <row r="40" spans="1:16" ht="18" customHeight="1" hidden="1">
      <c r="A40" s="312"/>
      <c r="B40" s="1398" t="s">
        <v>310</v>
      </c>
      <c r="C40" s="1398"/>
      <c r="D40" s="1398"/>
      <c r="E40" s="1398"/>
      <c r="F40" s="1398"/>
      <c r="G40" s="312"/>
      <c r="H40" s="310"/>
      <c r="I40" s="310"/>
      <c r="J40" s="310"/>
      <c r="K40" s="310"/>
      <c r="L40" s="310"/>
      <c r="M40" s="274"/>
      <c r="N40" s="274"/>
      <c r="O40" s="274"/>
      <c r="P40" s="274"/>
    </row>
    <row r="41" spans="1:12" ht="12.75" customHeight="1" hidden="1">
      <c r="A41" s="191"/>
      <c r="B41" s="288" t="s">
        <v>311</v>
      </c>
      <c r="C41" s="313"/>
      <c r="D41" s="313"/>
      <c r="E41" s="313"/>
      <c r="F41" s="313"/>
      <c r="G41" s="191"/>
      <c r="H41" s="310"/>
      <c r="I41" s="310"/>
      <c r="J41" s="310"/>
      <c r="K41" s="310"/>
      <c r="L41" s="310"/>
    </row>
    <row r="42" spans="1:12" ht="12.75" customHeight="1" hidden="1">
      <c r="A42" s="191"/>
      <c r="B42" s="245" t="s">
        <v>312</v>
      </c>
      <c r="C42" s="313"/>
      <c r="D42" s="313"/>
      <c r="E42" s="313"/>
      <c r="F42" s="313"/>
      <c r="G42" s="191"/>
      <c r="H42" s="310"/>
      <c r="I42" s="310"/>
      <c r="J42" s="310"/>
      <c r="K42" s="310"/>
      <c r="L42" s="310"/>
    </row>
    <row r="43" spans="1:12" ht="18.75">
      <c r="A43" s="1205" t="s">
        <v>441</v>
      </c>
      <c r="B43" s="1205"/>
      <c r="C43" s="1205"/>
      <c r="D43" s="1205"/>
      <c r="E43" s="1205"/>
      <c r="F43" s="191"/>
      <c r="G43" s="310"/>
      <c r="H43" s="1206" t="s">
        <v>353</v>
      </c>
      <c r="I43" s="1206"/>
      <c r="J43" s="1206"/>
      <c r="K43" s="1206"/>
      <c r="L43" s="1206"/>
    </row>
    <row r="44" spans="1:12" ht="12.75" customHeight="1">
      <c r="A44" s="191"/>
      <c r="B44" s="191"/>
      <c r="C44" s="191"/>
      <c r="D44" s="191"/>
      <c r="E44" s="191"/>
      <c r="F44" s="191"/>
      <c r="G44" s="191"/>
      <c r="H44" s="310"/>
      <c r="I44" s="310"/>
      <c r="J44" s="310"/>
      <c r="K44" s="310"/>
      <c r="L44" s="310"/>
    </row>
  </sheetData>
  <sheetProtection/>
  <mergeCells count="37">
    <mergeCell ref="I32:K32"/>
    <mergeCell ref="A28:E28"/>
    <mergeCell ref="C6:C9"/>
    <mergeCell ref="A43:E43"/>
    <mergeCell ref="A29:E29"/>
    <mergeCell ref="B32:E32"/>
    <mergeCell ref="H29:L29"/>
    <mergeCell ref="H43:L43"/>
    <mergeCell ref="B40:F40"/>
    <mergeCell ref="H30:L30"/>
    <mergeCell ref="A30:E30"/>
    <mergeCell ref="I5:L5"/>
    <mergeCell ref="L8:L9"/>
    <mergeCell ref="H8:H9"/>
    <mergeCell ref="D6:F6"/>
    <mergeCell ref="I8:I9"/>
    <mergeCell ref="J8:J9"/>
    <mergeCell ref="D1:H2"/>
    <mergeCell ref="K8:K9"/>
    <mergeCell ref="G7:G9"/>
    <mergeCell ref="G6:L6"/>
    <mergeCell ref="D7:F7"/>
    <mergeCell ref="D8:D9"/>
    <mergeCell ref="E8:E9"/>
    <mergeCell ref="F8:F9"/>
    <mergeCell ref="H7:L7"/>
    <mergeCell ref="D4:H4"/>
    <mergeCell ref="A1:C1"/>
    <mergeCell ref="A3:C3"/>
    <mergeCell ref="A4:C4"/>
    <mergeCell ref="A13:B13"/>
    <mergeCell ref="A2:C2"/>
    <mergeCell ref="A5:B5"/>
    <mergeCell ref="A10:B10"/>
    <mergeCell ref="A6:B9"/>
    <mergeCell ref="A12:B12"/>
    <mergeCell ref="A11:B11"/>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9" customWidth="1"/>
    <col min="2" max="2" width="21.50390625" style="179" customWidth="1"/>
    <col min="3" max="3" width="6.125" style="179" customWidth="1"/>
    <col min="4" max="4" width="7.50390625" style="179" customWidth="1"/>
    <col min="5" max="5" width="4.75390625" style="179" customWidth="1"/>
    <col min="6" max="6" width="6.375" style="179" customWidth="1"/>
    <col min="7" max="7" width="4.50390625" style="179" customWidth="1"/>
    <col min="8" max="8" width="7.25390625" style="179" customWidth="1"/>
    <col min="9" max="9" width="4.375" style="179" customWidth="1"/>
    <col min="10" max="10" width="7.50390625" style="179" customWidth="1"/>
    <col min="11" max="11" width="4.25390625" style="179" customWidth="1"/>
    <col min="12" max="12" width="6.50390625" style="179" customWidth="1"/>
    <col min="13" max="13" width="5.375" style="179" customWidth="1"/>
    <col min="14" max="14" width="7.50390625" style="179" customWidth="1"/>
    <col min="15" max="15" width="4.375" style="179" customWidth="1"/>
    <col min="16" max="16" width="7.00390625" style="179" customWidth="1"/>
    <col min="17" max="17" width="5.75390625" style="179" customWidth="1"/>
    <col min="18" max="18" width="6.75390625" style="179" customWidth="1"/>
    <col min="19" max="19" width="4.00390625" style="179" customWidth="1"/>
    <col min="20" max="20" width="6.125" style="179" customWidth="1"/>
    <col min="21" max="28" width="8.00390625" style="179" customWidth="1"/>
    <col min="29" max="29" width="8.375" style="179" customWidth="1"/>
    <col min="30" max="30" width="8.00390625" style="179" customWidth="1"/>
    <col min="31" max="31" width="11.25390625" style="179" customWidth="1"/>
    <col min="32" max="32" width="13.50390625" style="179" customWidth="1"/>
    <col min="33" max="16384" width="8.00390625" style="179" customWidth="1"/>
  </cols>
  <sheetData>
    <row r="1" spans="1:20" s="186" customFormat="1" ht="18" customHeight="1">
      <c r="A1" s="1293" t="s">
        <v>313</v>
      </c>
      <c r="B1" s="1293"/>
      <c r="C1" s="1293"/>
      <c r="D1" s="1293"/>
      <c r="E1" s="315"/>
      <c r="F1" s="1288" t="s">
        <v>476</v>
      </c>
      <c r="G1" s="1288"/>
      <c r="H1" s="1288"/>
      <c r="I1" s="1288"/>
      <c r="J1" s="1288"/>
      <c r="K1" s="1288"/>
      <c r="L1" s="1288"/>
      <c r="M1" s="1288"/>
      <c r="N1" s="1288"/>
      <c r="O1" s="1288"/>
      <c r="P1" s="316" t="s">
        <v>400</v>
      </c>
      <c r="Q1" s="317"/>
      <c r="R1" s="317"/>
      <c r="S1" s="317"/>
      <c r="T1" s="317"/>
    </row>
    <row r="2" spans="1:20" s="186" customFormat="1" ht="20.25" customHeight="1">
      <c r="A2" s="1412" t="s">
        <v>410</v>
      </c>
      <c r="B2" s="1412"/>
      <c r="C2" s="1412"/>
      <c r="D2" s="1412"/>
      <c r="E2" s="315"/>
      <c r="F2" s="1288"/>
      <c r="G2" s="1288"/>
      <c r="H2" s="1288"/>
      <c r="I2" s="1288"/>
      <c r="J2" s="1288"/>
      <c r="K2" s="1288"/>
      <c r="L2" s="1288"/>
      <c r="M2" s="1288"/>
      <c r="N2" s="1288"/>
      <c r="O2" s="1288"/>
      <c r="P2" s="317" t="s">
        <v>442</v>
      </c>
      <c r="Q2" s="317"/>
      <c r="R2" s="317"/>
      <c r="S2" s="317"/>
      <c r="T2" s="317"/>
    </row>
    <row r="3" spans="1:20" s="186" customFormat="1" ht="15" customHeight="1">
      <c r="A3" s="1412" t="s">
        <v>362</v>
      </c>
      <c r="B3" s="1412"/>
      <c r="C3" s="1412"/>
      <c r="D3" s="1412"/>
      <c r="E3" s="315"/>
      <c r="F3" s="1288"/>
      <c r="G3" s="1288"/>
      <c r="H3" s="1288"/>
      <c r="I3" s="1288"/>
      <c r="J3" s="1288"/>
      <c r="K3" s="1288"/>
      <c r="L3" s="1288"/>
      <c r="M3" s="1288"/>
      <c r="N3" s="1288"/>
      <c r="O3" s="1288"/>
      <c r="P3" s="316" t="s">
        <v>468</v>
      </c>
      <c r="Q3" s="316"/>
      <c r="R3" s="316"/>
      <c r="S3" s="318"/>
      <c r="T3" s="318"/>
    </row>
    <row r="4" spans="1:20" s="186" customFormat="1" ht="15.75" customHeight="1">
      <c r="A4" s="1413" t="s">
        <v>443</v>
      </c>
      <c r="B4" s="1413"/>
      <c r="C4" s="1413"/>
      <c r="D4" s="1413"/>
      <c r="E4" s="316"/>
      <c r="F4" s="1288"/>
      <c r="G4" s="1288"/>
      <c r="H4" s="1288"/>
      <c r="I4" s="1288"/>
      <c r="J4" s="1288"/>
      <c r="K4" s="1288"/>
      <c r="L4" s="1288"/>
      <c r="M4" s="1288"/>
      <c r="N4" s="1288"/>
      <c r="O4" s="1288"/>
      <c r="P4" s="317" t="s">
        <v>412</v>
      </c>
      <c r="Q4" s="316"/>
      <c r="R4" s="316"/>
      <c r="S4" s="318"/>
      <c r="T4" s="318"/>
    </row>
    <row r="5" spans="1:18" s="186" customFormat="1" ht="24" customHeight="1">
      <c r="A5" s="319"/>
      <c r="B5" s="319"/>
      <c r="C5" s="319"/>
      <c r="F5" s="1408"/>
      <c r="G5" s="1408"/>
      <c r="H5" s="1408"/>
      <c r="I5" s="1408"/>
      <c r="J5" s="1408"/>
      <c r="K5" s="1408"/>
      <c r="L5" s="1408"/>
      <c r="M5" s="1408"/>
      <c r="N5" s="1408"/>
      <c r="O5" s="1408"/>
      <c r="P5" s="320" t="s">
        <v>444</v>
      </c>
      <c r="Q5" s="321"/>
      <c r="R5" s="321"/>
    </row>
    <row r="6" spans="1:20" s="322" customFormat="1" ht="21.75" customHeight="1">
      <c r="A6" s="1399" t="s">
        <v>72</v>
      </c>
      <c r="B6" s="1400"/>
      <c r="C6" s="1296" t="s">
        <v>38</v>
      </c>
      <c r="D6" s="1280"/>
      <c r="E6" s="1296" t="s">
        <v>7</v>
      </c>
      <c r="F6" s="1409"/>
      <c r="G6" s="1409"/>
      <c r="H6" s="1409"/>
      <c r="I6" s="1409"/>
      <c r="J6" s="1409"/>
      <c r="K6" s="1409"/>
      <c r="L6" s="1409"/>
      <c r="M6" s="1409"/>
      <c r="N6" s="1409"/>
      <c r="O6" s="1409"/>
      <c r="P6" s="1409"/>
      <c r="Q6" s="1409"/>
      <c r="R6" s="1409"/>
      <c r="S6" s="1409"/>
      <c r="T6" s="1280"/>
    </row>
    <row r="7" spans="1:21" s="322" customFormat="1" ht="22.5" customHeight="1">
      <c r="A7" s="1401"/>
      <c r="B7" s="1402"/>
      <c r="C7" s="1313" t="s">
        <v>445</v>
      </c>
      <c r="D7" s="1313" t="s">
        <v>446</v>
      </c>
      <c r="E7" s="1296" t="s">
        <v>314</v>
      </c>
      <c r="F7" s="1414"/>
      <c r="G7" s="1414"/>
      <c r="H7" s="1414"/>
      <c r="I7" s="1414"/>
      <c r="J7" s="1414"/>
      <c r="K7" s="1414"/>
      <c r="L7" s="1415"/>
      <c r="M7" s="1296" t="s">
        <v>447</v>
      </c>
      <c r="N7" s="1409"/>
      <c r="O7" s="1409"/>
      <c r="P7" s="1409"/>
      <c r="Q7" s="1409"/>
      <c r="R7" s="1409"/>
      <c r="S7" s="1409"/>
      <c r="T7" s="1280"/>
      <c r="U7" s="323"/>
    </row>
    <row r="8" spans="1:20" s="322" customFormat="1" ht="42.75" customHeight="1">
      <c r="A8" s="1401"/>
      <c r="B8" s="1402"/>
      <c r="C8" s="1314"/>
      <c r="D8" s="1314"/>
      <c r="E8" s="1277" t="s">
        <v>448</v>
      </c>
      <c r="F8" s="1277"/>
      <c r="G8" s="1296" t="s">
        <v>449</v>
      </c>
      <c r="H8" s="1409"/>
      <c r="I8" s="1409"/>
      <c r="J8" s="1409"/>
      <c r="K8" s="1409"/>
      <c r="L8" s="1280"/>
      <c r="M8" s="1277" t="s">
        <v>450</v>
      </c>
      <c r="N8" s="1277"/>
      <c r="O8" s="1296" t="s">
        <v>449</v>
      </c>
      <c r="P8" s="1409"/>
      <c r="Q8" s="1409"/>
      <c r="R8" s="1409"/>
      <c r="S8" s="1409"/>
      <c r="T8" s="1280"/>
    </row>
    <row r="9" spans="1:20" s="322" customFormat="1" ht="35.25" customHeight="1">
      <c r="A9" s="1401"/>
      <c r="B9" s="1402"/>
      <c r="C9" s="1314"/>
      <c r="D9" s="1314"/>
      <c r="E9" s="1313" t="s">
        <v>315</v>
      </c>
      <c r="F9" s="1313" t="s">
        <v>316</v>
      </c>
      <c r="G9" s="1403" t="s">
        <v>317</v>
      </c>
      <c r="H9" s="1404"/>
      <c r="I9" s="1403" t="s">
        <v>318</v>
      </c>
      <c r="J9" s="1404"/>
      <c r="K9" s="1403" t="s">
        <v>319</v>
      </c>
      <c r="L9" s="1404"/>
      <c r="M9" s="1313" t="s">
        <v>320</v>
      </c>
      <c r="N9" s="1313" t="s">
        <v>316</v>
      </c>
      <c r="O9" s="1403" t="s">
        <v>317</v>
      </c>
      <c r="P9" s="1404"/>
      <c r="Q9" s="1403" t="s">
        <v>321</v>
      </c>
      <c r="R9" s="1404"/>
      <c r="S9" s="1403" t="s">
        <v>322</v>
      </c>
      <c r="T9" s="1404"/>
    </row>
    <row r="10" spans="1:20" s="322" customFormat="1" ht="25.5" customHeight="1">
      <c r="A10" s="1403"/>
      <c r="B10" s="1404"/>
      <c r="C10" s="1315"/>
      <c r="D10" s="1315"/>
      <c r="E10" s="1315"/>
      <c r="F10" s="1315"/>
      <c r="G10" s="224" t="s">
        <v>320</v>
      </c>
      <c r="H10" s="224" t="s">
        <v>316</v>
      </c>
      <c r="I10" s="228" t="s">
        <v>320</v>
      </c>
      <c r="J10" s="224" t="s">
        <v>316</v>
      </c>
      <c r="K10" s="228" t="s">
        <v>320</v>
      </c>
      <c r="L10" s="224" t="s">
        <v>316</v>
      </c>
      <c r="M10" s="1315"/>
      <c r="N10" s="1315"/>
      <c r="O10" s="224" t="s">
        <v>320</v>
      </c>
      <c r="P10" s="224" t="s">
        <v>316</v>
      </c>
      <c r="Q10" s="228" t="s">
        <v>320</v>
      </c>
      <c r="R10" s="224" t="s">
        <v>316</v>
      </c>
      <c r="S10" s="228" t="s">
        <v>320</v>
      </c>
      <c r="T10" s="224" t="s">
        <v>316</v>
      </c>
    </row>
    <row r="11" spans="1:32" s="231" customFormat="1" ht="12.75">
      <c r="A11" s="1418" t="s">
        <v>6</v>
      </c>
      <c r="B11" s="1419"/>
      <c r="C11" s="324">
        <v>1</v>
      </c>
      <c r="D11" s="229">
        <v>2</v>
      </c>
      <c r="E11" s="324">
        <v>3</v>
      </c>
      <c r="F11" s="229">
        <v>4</v>
      </c>
      <c r="G11" s="324">
        <v>5</v>
      </c>
      <c r="H11" s="229">
        <v>6</v>
      </c>
      <c r="I11" s="324">
        <v>7</v>
      </c>
      <c r="J11" s="229">
        <v>8</v>
      </c>
      <c r="K11" s="324">
        <v>9</v>
      </c>
      <c r="L11" s="229">
        <v>10</v>
      </c>
      <c r="M11" s="324">
        <v>11</v>
      </c>
      <c r="N11" s="229">
        <v>12</v>
      </c>
      <c r="O11" s="324">
        <v>13</v>
      </c>
      <c r="P11" s="229">
        <v>14</v>
      </c>
      <c r="Q11" s="324">
        <v>15</v>
      </c>
      <c r="R11" s="229">
        <v>16</v>
      </c>
      <c r="S11" s="324">
        <v>17</v>
      </c>
      <c r="T11" s="229">
        <v>18</v>
      </c>
      <c r="AF11" s="231" t="s">
        <v>376</v>
      </c>
    </row>
    <row r="12" spans="1:20" s="231" customFormat="1" ht="20.25" customHeight="1">
      <c r="A12" s="1406" t="s">
        <v>432</v>
      </c>
      <c r="B12" s="1407"/>
      <c r="C12" s="232">
        <f aca="true" t="shared" si="0" ref="C12:T12">C14-C13</f>
        <v>-1</v>
      </c>
      <c r="D12" s="232">
        <f t="shared" si="0"/>
        <v>-1</v>
      </c>
      <c r="E12" s="232">
        <f t="shared" si="0"/>
        <v>0</v>
      </c>
      <c r="F12" s="232">
        <f t="shared" si="0"/>
        <v>0</v>
      </c>
      <c r="G12" s="232">
        <f t="shared" si="0"/>
        <v>0</v>
      </c>
      <c r="H12" s="232">
        <f t="shared" si="0"/>
        <v>0</v>
      </c>
      <c r="I12" s="232">
        <f t="shared" si="0"/>
        <v>0</v>
      </c>
      <c r="J12" s="232">
        <f t="shared" si="0"/>
        <v>0</v>
      </c>
      <c r="K12" s="232">
        <f t="shared" si="0"/>
        <v>0</v>
      </c>
      <c r="L12" s="232">
        <f t="shared" si="0"/>
        <v>0</v>
      </c>
      <c r="M12" s="232">
        <f t="shared" si="0"/>
        <v>-1</v>
      </c>
      <c r="N12" s="232">
        <f t="shared" si="0"/>
        <v>-1</v>
      </c>
      <c r="O12" s="232">
        <f t="shared" si="0"/>
        <v>-1</v>
      </c>
      <c r="P12" s="232">
        <f t="shared" si="0"/>
        <v>-1</v>
      </c>
      <c r="Q12" s="232">
        <f t="shared" si="0"/>
        <v>0</v>
      </c>
      <c r="R12" s="232">
        <f t="shared" si="0"/>
        <v>0</v>
      </c>
      <c r="S12" s="232">
        <f t="shared" si="0"/>
        <v>0</v>
      </c>
      <c r="T12" s="232">
        <f t="shared" si="0"/>
        <v>0</v>
      </c>
    </row>
    <row r="13" spans="1:20" s="231" customFormat="1" ht="23.25" customHeight="1">
      <c r="A13" s="1416" t="s">
        <v>408</v>
      </c>
      <c r="B13" s="1417"/>
      <c r="C13" s="233">
        <v>1</v>
      </c>
      <c r="D13" s="233">
        <v>1</v>
      </c>
      <c r="E13" s="233">
        <v>0</v>
      </c>
      <c r="F13" s="233">
        <v>0</v>
      </c>
      <c r="G13" s="233">
        <v>0</v>
      </c>
      <c r="H13" s="233">
        <v>0</v>
      </c>
      <c r="I13" s="233">
        <v>0</v>
      </c>
      <c r="J13" s="233">
        <v>0</v>
      </c>
      <c r="K13" s="233">
        <v>0</v>
      </c>
      <c r="L13" s="233">
        <v>0</v>
      </c>
      <c r="M13" s="233">
        <v>1</v>
      </c>
      <c r="N13" s="233">
        <v>1</v>
      </c>
      <c r="O13" s="233">
        <v>1</v>
      </c>
      <c r="P13" s="233">
        <v>1</v>
      </c>
      <c r="Q13" s="233">
        <v>0</v>
      </c>
      <c r="R13" s="233">
        <v>0</v>
      </c>
      <c r="S13" s="233">
        <v>0</v>
      </c>
      <c r="T13" s="233">
        <v>0</v>
      </c>
    </row>
    <row r="14" spans="1:37" s="187" customFormat="1" ht="15.75" customHeight="1">
      <c r="A14" s="1410" t="s">
        <v>37</v>
      </c>
      <c r="B14" s="1411"/>
      <c r="C14" s="325">
        <f>C15+C16</f>
        <v>0</v>
      </c>
      <c r="D14" s="325">
        <f>D15+D16</f>
        <v>0</v>
      </c>
      <c r="E14" s="325">
        <f>E20+E31+E36+E42+E53+E59+E62+E66+E70+E74+E82+E89</f>
        <v>0</v>
      </c>
      <c r="F14" s="325">
        <f aca="true" t="shared" si="1" ref="F14:T14">F15+F16</f>
        <v>0</v>
      </c>
      <c r="G14" s="325">
        <f t="shared" si="1"/>
        <v>0</v>
      </c>
      <c r="H14" s="325">
        <f t="shared" si="1"/>
        <v>0</v>
      </c>
      <c r="I14" s="325">
        <f t="shared" si="1"/>
        <v>0</v>
      </c>
      <c r="J14" s="325">
        <f t="shared" si="1"/>
        <v>0</v>
      </c>
      <c r="K14" s="325">
        <f t="shared" si="1"/>
        <v>0</v>
      </c>
      <c r="L14" s="325">
        <f t="shared" si="1"/>
        <v>0</v>
      </c>
      <c r="M14" s="325">
        <f t="shared" si="1"/>
        <v>0</v>
      </c>
      <c r="N14" s="325">
        <f t="shared" si="1"/>
        <v>0</v>
      </c>
      <c r="O14" s="325">
        <f t="shared" si="1"/>
        <v>0</v>
      </c>
      <c r="P14" s="325">
        <f t="shared" si="1"/>
        <v>0</v>
      </c>
      <c r="Q14" s="325">
        <f t="shared" si="1"/>
        <v>0</v>
      </c>
      <c r="R14" s="325">
        <f t="shared" si="1"/>
        <v>0</v>
      </c>
      <c r="S14" s="325">
        <f t="shared" si="1"/>
        <v>0</v>
      </c>
      <c r="T14" s="326">
        <f t="shared" si="1"/>
        <v>0</v>
      </c>
      <c r="AK14" s="208"/>
    </row>
    <row r="15" spans="1:20" s="187" customFormat="1" ht="15.75" customHeight="1">
      <c r="A15" s="206" t="s">
        <v>0</v>
      </c>
      <c r="B15" s="207" t="s">
        <v>228</v>
      </c>
      <c r="C15" s="325">
        <f>E15+M15</f>
        <v>0</v>
      </c>
      <c r="D15" s="235">
        <f>F15+N15</f>
        <v>0</v>
      </c>
      <c r="E15" s="240">
        <v>0</v>
      </c>
      <c r="F15" s="240">
        <v>0</v>
      </c>
      <c r="G15" s="240">
        <v>0</v>
      </c>
      <c r="H15" s="240">
        <v>0</v>
      </c>
      <c r="I15" s="240">
        <v>0</v>
      </c>
      <c r="J15" s="240">
        <v>0</v>
      </c>
      <c r="K15" s="240">
        <v>0</v>
      </c>
      <c r="L15" s="240">
        <v>0</v>
      </c>
      <c r="M15" s="240">
        <v>0</v>
      </c>
      <c r="N15" s="240">
        <v>0</v>
      </c>
      <c r="O15" s="240">
        <v>0</v>
      </c>
      <c r="P15" s="240">
        <v>0</v>
      </c>
      <c r="Q15" s="240">
        <v>0</v>
      </c>
      <c r="R15" s="240">
        <v>0</v>
      </c>
      <c r="S15" s="240">
        <v>0</v>
      </c>
      <c r="T15" s="240">
        <v>0</v>
      </c>
    </row>
    <row r="16" spans="1:38" s="187" customFormat="1" ht="15.75" customHeight="1">
      <c r="A16" s="263" t="s">
        <v>1</v>
      </c>
      <c r="B16" s="207" t="s">
        <v>19</v>
      </c>
      <c r="C16" s="325">
        <f aca="true" t="shared" si="2" ref="C16:T16">C17+C18+C19+C20+C21+C22+C23+C24+C25+C26+C27</f>
        <v>0</v>
      </c>
      <c r="D16" s="235">
        <f t="shared" si="2"/>
        <v>0</v>
      </c>
      <c r="E16" s="325">
        <f t="shared" si="2"/>
        <v>0</v>
      </c>
      <c r="F16" s="325">
        <f t="shared" si="2"/>
        <v>0</v>
      </c>
      <c r="G16" s="325">
        <f t="shared" si="2"/>
        <v>0</v>
      </c>
      <c r="H16" s="325">
        <f t="shared" si="2"/>
        <v>0</v>
      </c>
      <c r="I16" s="325">
        <f t="shared" si="2"/>
        <v>0</v>
      </c>
      <c r="J16" s="325">
        <f t="shared" si="2"/>
        <v>0</v>
      </c>
      <c r="K16" s="325">
        <f t="shared" si="2"/>
        <v>0</v>
      </c>
      <c r="L16" s="325">
        <f t="shared" si="2"/>
        <v>0</v>
      </c>
      <c r="M16" s="325">
        <f t="shared" si="2"/>
        <v>0</v>
      </c>
      <c r="N16" s="325">
        <f t="shared" si="2"/>
        <v>0</v>
      </c>
      <c r="O16" s="325">
        <f t="shared" si="2"/>
        <v>0</v>
      </c>
      <c r="P16" s="325">
        <f t="shared" si="2"/>
        <v>0</v>
      </c>
      <c r="Q16" s="325">
        <f t="shared" si="2"/>
        <v>0</v>
      </c>
      <c r="R16" s="325">
        <f t="shared" si="2"/>
        <v>0</v>
      </c>
      <c r="S16" s="325">
        <f t="shared" si="2"/>
        <v>0</v>
      </c>
      <c r="T16" s="326">
        <f t="shared" si="2"/>
        <v>0</v>
      </c>
      <c r="AL16" s="208"/>
    </row>
    <row r="17" spans="1:32" s="187" customFormat="1" ht="15.75" customHeight="1">
      <c r="A17" s="209">
        <v>1</v>
      </c>
      <c r="B17" s="77" t="s">
        <v>377</v>
      </c>
      <c r="C17" s="325">
        <f aca="true" t="shared" si="3" ref="C17:C27">E17+M17</f>
        <v>0</v>
      </c>
      <c r="D17" s="235">
        <f aca="true" t="shared" si="4" ref="D17:D27">F17+N17</f>
        <v>0</v>
      </c>
      <c r="E17" s="240">
        <v>0</v>
      </c>
      <c r="F17" s="240">
        <v>0</v>
      </c>
      <c r="G17" s="240">
        <v>0</v>
      </c>
      <c r="H17" s="240">
        <v>0</v>
      </c>
      <c r="I17" s="240">
        <v>0</v>
      </c>
      <c r="J17" s="240">
        <v>0</v>
      </c>
      <c r="K17" s="240">
        <v>0</v>
      </c>
      <c r="L17" s="240">
        <v>0</v>
      </c>
      <c r="M17" s="240">
        <v>0</v>
      </c>
      <c r="N17" s="240">
        <v>0</v>
      </c>
      <c r="O17" s="240">
        <v>0</v>
      </c>
      <c r="P17" s="240">
        <v>0</v>
      </c>
      <c r="Q17" s="240">
        <v>0</v>
      </c>
      <c r="R17" s="240">
        <v>0</v>
      </c>
      <c r="S17" s="240">
        <v>0</v>
      </c>
      <c r="T17" s="240">
        <v>0</v>
      </c>
      <c r="AF17" s="208" t="s">
        <v>379</v>
      </c>
    </row>
    <row r="18" spans="1:20" s="187" customFormat="1" ht="15.75" customHeight="1">
      <c r="A18" s="209">
        <v>2</v>
      </c>
      <c r="B18" s="77" t="s">
        <v>409</v>
      </c>
      <c r="C18" s="325">
        <f t="shared" si="3"/>
        <v>0</v>
      </c>
      <c r="D18" s="235">
        <f t="shared" si="4"/>
        <v>0</v>
      </c>
      <c r="E18" s="240">
        <v>0</v>
      </c>
      <c r="F18" s="240">
        <v>0</v>
      </c>
      <c r="G18" s="240">
        <v>0</v>
      </c>
      <c r="H18" s="240">
        <v>0</v>
      </c>
      <c r="I18" s="240">
        <v>0</v>
      </c>
      <c r="J18" s="240">
        <v>0</v>
      </c>
      <c r="K18" s="240">
        <v>0</v>
      </c>
      <c r="L18" s="240">
        <v>0</v>
      </c>
      <c r="M18" s="240">
        <v>0</v>
      </c>
      <c r="N18" s="240">
        <v>0</v>
      </c>
      <c r="O18" s="240">
        <v>0</v>
      </c>
      <c r="P18" s="240">
        <v>0</v>
      </c>
      <c r="Q18" s="240">
        <v>0</v>
      </c>
      <c r="R18" s="240">
        <v>0</v>
      </c>
      <c r="S18" s="240">
        <v>0</v>
      </c>
      <c r="T18" s="240">
        <v>0</v>
      </c>
    </row>
    <row r="19" spans="1:20" s="187" customFormat="1" ht="15.75" customHeight="1">
      <c r="A19" s="209">
        <v>3</v>
      </c>
      <c r="B19" s="77" t="s">
        <v>380</v>
      </c>
      <c r="C19" s="325">
        <f t="shared" si="3"/>
        <v>0</v>
      </c>
      <c r="D19" s="235">
        <f t="shared" si="4"/>
        <v>0</v>
      </c>
      <c r="E19" s="240">
        <v>0</v>
      </c>
      <c r="F19" s="240">
        <v>0</v>
      </c>
      <c r="G19" s="240">
        <v>0</v>
      </c>
      <c r="H19" s="240">
        <v>0</v>
      </c>
      <c r="I19" s="240">
        <v>0</v>
      </c>
      <c r="J19" s="240">
        <v>0</v>
      </c>
      <c r="K19" s="240">
        <v>0</v>
      </c>
      <c r="L19" s="240">
        <v>0</v>
      </c>
      <c r="M19" s="240">
        <v>0</v>
      </c>
      <c r="N19" s="240">
        <v>0</v>
      </c>
      <c r="O19" s="240">
        <v>0</v>
      </c>
      <c r="P19" s="240">
        <v>0</v>
      </c>
      <c r="Q19" s="240">
        <v>0</v>
      </c>
      <c r="R19" s="240">
        <v>0</v>
      </c>
      <c r="S19" s="240">
        <v>0</v>
      </c>
      <c r="T19" s="240">
        <v>0</v>
      </c>
    </row>
    <row r="20" spans="1:20" s="187" customFormat="1" ht="15.75" customHeight="1">
      <c r="A20" s="209">
        <v>4</v>
      </c>
      <c r="B20" s="77" t="s">
        <v>381</v>
      </c>
      <c r="C20" s="325">
        <f t="shared" si="3"/>
        <v>0</v>
      </c>
      <c r="D20" s="235">
        <f t="shared" si="4"/>
        <v>0</v>
      </c>
      <c r="E20" s="240">
        <v>0</v>
      </c>
      <c r="F20" s="240">
        <v>0</v>
      </c>
      <c r="G20" s="240">
        <v>0</v>
      </c>
      <c r="H20" s="240">
        <v>0</v>
      </c>
      <c r="I20" s="240">
        <v>0</v>
      </c>
      <c r="J20" s="240">
        <v>0</v>
      </c>
      <c r="K20" s="240">
        <v>0</v>
      </c>
      <c r="L20" s="240">
        <v>0</v>
      </c>
      <c r="M20" s="240"/>
      <c r="N20" s="240"/>
      <c r="O20" s="240"/>
      <c r="P20" s="240"/>
      <c r="Q20" s="240">
        <v>0</v>
      </c>
      <c r="R20" s="240">
        <v>0</v>
      </c>
      <c r="S20" s="240">
        <v>0</v>
      </c>
      <c r="T20" s="240">
        <v>0</v>
      </c>
    </row>
    <row r="21" spans="1:39" s="187" customFormat="1" ht="15.75" customHeight="1">
      <c r="A21" s="209">
        <v>5</v>
      </c>
      <c r="B21" s="77" t="s">
        <v>382</v>
      </c>
      <c r="C21" s="325">
        <f t="shared" si="3"/>
        <v>0</v>
      </c>
      <c r="D21" s="235">
        <f t="shared" si="4"/>
        <v>0</v>
      </c>
      <c r="E21" s="240">
        <v>0</v>
      </c>
      <c r="F21" s="240">
        <v>0</v>
      </c>
      <c r="G21" s="240">
        <v>0</v>
      </c>
      <c r="H21" s="240">
        <v>0</v>
      </c>
      <c r="I21" s="240">
        <v>0</v>
      </c>
      <c r="J21" s="240">
        <v>0</v>
      </c>
      <c r="K21" s="240">
        <v>0</v>
      </c>
      <c r="L21" s="240">
        <v>0</v>
      </c>
      <c r="M21" s="240">
        <v>0</v>
      </c>
      <c r="N21" s="240">
        <v>0</v>
      </c>
      <c r="O21" s="240">
        <v>0</v>
      </c>
      <c r="P21" s="240">
        <v>0</v>
      </c>
      <c r="Q21" s="240">
        <v>0</v>
      </c>
      <c r="R21" s="240">
        <v>0</v>
      </c>
      <c r="S21" s="240">
        <v>0</v>
      </c>
      <c r="T21" s="240">
        <v>0</v>
      </c>
      <c r="AJ21" s="187" t="s">
        <v>384</v>
      </c>
      <c r="AK21" s="187" t="s">
        <v>385</v>
      </c>
      <c r="AL21" s="187" t="s">
        <v>386</v>
      </c>
      <c r="AM21" s="208" t="s">
        <v>387</v>
      </c>
    </row>
    <row r="22" spans="1:39" s="187" customFormat="1" ht="15.75" customHeight="1">
      <c r="A22" s="209">
        <v>6</v>
      </c>
      <c r="B22" s="77" t="s">
        <v>383</v>
      </c>
      <c r="C22" s="325">
        <f t="shared" si="3"/>
        <v>0</v>
      </c>
      <c r="D22" s="235">
        <f t="shared" si="4"/>
        <v>0</v>
      </c>
      <c r="E22" s="240">
        <v>0</v>
      </c>
      <c r="F22" s="240">
        <v>0</v>
      </c>
      <c r="G22" s="240">
        <v>0</v>
      </c>
      <c r="H22" s="240">
        <v>0</v>
      </c>
      <c r="I22" s="240">
        <v>0</v>
      </c>
      <c r="J22" s="240">
        <v>0</v>
      </c>
      <c r="K22" s="240">
        <v>0</v>
      </c>
      <c r="L22" s="240">
        <v>0</v>
      </c>
      <c r="M22" s="240">
        <v>0</v>
      </c>
      <c r="N22" s="240">
        <v>0</v>
      </c>
      <c r="O22" s="240">
        <v>0</v>
      </c>
      <c r="P22" s="240">
        <v>0</v>
      </c>
      <c r="Q22" s="240">
        <v>0</v>
      </c>
      <c r="R22" s="240">
        <v>0</v>
      </c>
      <c r="S22" s="240">
        <v>0</v>
      </c>
      <c r="T22" s="240">
        <v>0</v>
      </c>
      <c r="AM22" s="208" t="s">
        <v>389</v>
      </c>
    </row>
    <row r="23" spans="1:20" s="187" customFormat="1" ht="15.75" customHeight="1">
      <c r="A23" s="209">
        <v>7</v>
      </c>
      <c r="B23" s="77" t="s">
        <v>388</v>
      </c>
      <c r="C23" s="325">
        <f t="shared" si="3"/>
        <v>0</v>
      </c>
      <c r="D23" s="235">
        <f t="shared" si="4"/>
        <v>0</v>
      </c>
      <c r="E23" s="240">
        <v>0</v>
      </c>
      <c r="F23" s="240">
        <v>0</v>
      </c>
      <c r="G23" s="240">
        <v>0</v>
      </c>
      <c r="H23" s="240">
        <v>0</v>
      </c>
      <c r="I23" s="240">
        <v>0</v>
      </c>
      <c r="J23" s="240">
        <v>0</v>
      </c>
      <c r="K23" s="240">
        <v>0</v>
      </c>
      <c r="L23" s="240">
        <v>0</v>
      </c>
      <c r="M23" s="240">
        <v>0</v>
      </c>
      <c r="N23" s="240">
        <v>0</v>
      </c>
      <c r="O23" s="240">
        <v>0</v>
      </c>
      <c r="P23" s="240">
        <v>0</v>
      </c>
      <c r="Q23" s="240">
        <v>0</v>
      </c>
      <c r="R23" s="240">
        <v>0</v>
      </c>
      <c r="S23" s="240">
        <v>0</v>
      </c>
      <c r="T23" s="240">
        <v>0</v>
      </c>
    </row>
    <row r="24" spans="1:36" s="187" customFormat="1" ht="15.75" customHeight="1">
      <c r="A24" s="209">
        <v>8</v>
      </c>
      <c r="B24" s="77" t="s">
        <v>390</v>
      </c>
      <c r="C24" s="325">
        <f t="shared" si="3"/>
        <v>0</v>
      </c>
      <c r="D24" s="235">
        <f t="shared" si="4"/>
        <v>0</v>
      </c>
      <c r="E24" s="240">
        <v>0</v>
      </c>
      <c r="F24" s="240">
        <v>0</v>
      </c>
      <c r="G24" s="240">
        <v>0</v>
      </c>
      <c r="H24" s="240">
        <v>0</v>
      </c>
      <c r="I24" s="240">
        <v>0</v>
      </c>
      <c r="J24" s="240">
        <v>0</v>
      </c>
      <c r="K24" s="240">
        <v>0</v>
      </c>
      <c r="L24" s="240">
        <v>0</v>
      </c>
      <c r="M24" s="240">
        <v>0</v>
      </c>
      <c r="N24" s="240">
        <v>0</v>
      </c>
      <c r="O24" s="240">
        <v>0</v>
      </c>
      <c r="P24" s="240">
        <v>0</v>
      </c>
      <c r="Q24" s="240">
        <v>0</v>
      </c>
      <c r="R24" s="240">
        <v>0</v>
      </c>
      <c r="S24" s="240">
        <v>0</v>
      </c>
      <c r="T24" s="240">
        <v>0</v>
      </c>
      <c r="AJ24" s="187" t="s">
        <v>384</v>
      </c>
    </row>
    <row r="25" spans="1:36" s="187" customFormat="1" ht="15.75" customHeight="1">
      <c r="A25" s="209">
        <v>9</v>
      </c>
      <c r="B25" s="77" t="s">
        <v>391</v>
      </c>
      <c r="C25" s="325">
        <f t="shared" si="3"/>
        <v>0</v>
      </c>
      <c r="D25" s="235">
        <f t="shared" si="4"/>
        <v>0</v>
      </c>
      <c r="E25" s="240">
        <v>0</v>
      </c>
      <c r="F25" s="240">
        <v>0</v>
      </c>
      <c r="G25" s="240">
        <v>0</v>
      </c>
      <c r="H25" s="240">
        <v>0</v>
      </c>
      <c r="I25" s="240">
        <v>0</v>
      </c>
      <c r="J25" s="240">
        <v>0</v>
      </c>
      <c r="K25" s="240">
        <v>0</v>
      </c>
      <c r="L25" s="240">
        <v>0</v>
      </c>
      <c r="M25" s="240">
        <v>0</v>
      </c>
      <c r="N25" s="240">
        <v>0</v>
      </c>
      <c r="O25" s="240">
        <v>0</v>
      </c>
      <c r="P25" s="240">
        <v>0</v>
      </c>
      <c r="Q25" s="240">
        <v>0</v>
      </c>
      <c r="R25" s="240">
        <v>0</v>
      </c>
      <c r="S25" s="240">
        <v>0</v>
      </c>
      <c r="T25" s="240">
        <v>0</v>
      </c>
      <c r="AJ25" s="208" t="s">
        <v>393</v>
      </c>
    </row>
    <row r="26" spans="1:44" s="187" customFormat="1" ht="15.75" customHeight="1">
      <c r="A26" s="209">
        <v>10</v>
      </c>
      <c r="B26" s="77" t="s">
        <v>392</v>
      </c>
      <c r="C26" s="325">
        <f t="shared" si="3"/>
        <v>0</v>
      </c>
      <c r="D26" s="235">
        <f t="shared" si="4"/>
        <v>0</v>
      </c>
      <c r="E26" s="240">
        <v>0</v>
      </c>
      <c r="F26" s="240">
        <v>0</v>
      </c>
      <c r="G26" s="240">
        <v>0</v>
      </c>
      <c r="H26" s="240">
        <v>0</v>
      </c>
      <c r="I26" s="240">
        <v>0</v>
      </c>
      <c r="J26" s="240">
        <v>0</v>
      </c>
      <c r="K26" s="240">
        <v>0</v>
      </c>
      <c r="L26" s="240">
        <v>0</v>
      </c>
      <c r="M26" s="240">
        <v>0</v>
      </c>
      <c r="N26" s="240">
        <v>0</v>
      </c>
      <c r="O26" s="240">
        <v>0</v>
      </c>
      <c r="P26" s="240">
        <v>0</v>
      </c>
      <c r="Q26" s="240">
        <v>0</v>
      </c>
      <c r="R26" s="240">
        <v>0</v>
      </c>
      <c r="S26" s="240">
        <v>0</v>
      </c>
      <c r="T26" s="240">
        <v>0</v>
      </c>
      <c r="AR26" s="208"/>
    </row>
    <row r="27" spans="1:20" s="187" customFormat="1" ht="15.75" customHeight="1">
      <c r="A27" s="209">
        <v>11</v>
      </c>
      <c r="B27" s="77" t="s">
        <v>394</v>
      </c>
      <c r="C27" s="325">
        <f t="shared" si="3"/>
        <v>0</v>
      </c>
      <c r="D27" s="235">
        <f t="shared" si="4"/>
        <v>0</v>
      </c>
      <c r="E27" s="240">
        <v>0</v>
      </c>
      <c r="F27" s="240">
        <v>0</v>
      </c>
      <c r="G27" s="240">
        <v>0</v>
      </c>
      <c r="H27" s="240">
        <v>0</v>
      </c>
      <c r="I27" s="240">
        <v>0</v>
      </c>
      <c r="J27" s="240">
        <v>0</v>
      </c>
      <c r="K27" s="240">
        <v>0</v>
      </c>
      <c r="L27" s="240">
        <v>0</v>
      </c>
      <c r="M27" s="240">
        <v>0</v>
      </c>
      <c r="N27" s="240">
        <v>0</v>
      </c>
      <c r="O27" s="240">
        <v>0</v>
      </c>
      <c r="P27" s="240">
        <v>0</v>
      </c>
      <c r="Q27" s="240">
        <v>0</v>
      </c>
      <c r="R27" s="240">
        <v>0</v>
      </c>
      <c r="S27" s="240">
        <v>0</v>
      </c>
      <c r="T27" s="240">
        <v>0</v>
      </c>
    </row>
    <row r="28" spans="33:35" ht="5.25" customHeight="1">
      <c r="AG28" s="179" t="s">
        <v>396</v>
      </c>
      <c r="AI28" s="199">
        <f>82/88</f>
        <v>0.9318181818181818</v>
      </c>
    </row>
    <row r="29" spans="1:20" ht="15.75" customHeight="1">
      <c r="A29" s="189"/>
      <c r="B29" s="1312" t="s">
        <v>395</v>
      </c>
      <c r="C29" s="1312"/>
      <c r="D29" s="1312"/>
      <c r="E29" s="1312"/>
      <c r="F29" s="1312"/>
      <c r="G29" s="1312"/>
      <c r="H29" s="190"/>
      <c r="I29" s="190"/>
      <c r="J29" s="191"/>
      <c r="K29" s="190"/>
      <c r="L29" s="1317" t="s">
        <v>395</v>
      </c>
      <c r="M29" s="1317"/>
      <c r="N29" s="1317"/>
      <c r="O29" s="1317"/>
      <c r="P29" s="1317"/>
      <c r="Q29" s="1317"/>
      <c r="R29" s="1317"/>
      <c r="S29" s="1317"/>
      <c r="T29" s="1317"/>
    </row>
    <row r="30" spans="1:20" ht="15" customHeight="1">
      <c r="A30" s="189"/>
      <c r="B30" s="1302" t="s">
        <v>43</v>
      </c>
      <c r="C30" s="1302"/>
      <c r="D30" s="1302"/>
      <c r="E30" s="1302"/>
      <c r="F30" s="1302"/>
      <c r="G30" s="1302"/>
      <c r="H30" s="192"/>
      <c r="I30" s="192"/>
      <c r="J30" s="192"/>
      <c r="K30" s="192"/>
      <c r="L30" s="1305" t="s">
        <v>351</v>
      </c>
      <c r="M30" s="1305"/>
      <c r="N30" s="1305"/>
      <c r="O30" s="1305"/>
      <c r="P30" s="1305"/>
      <c r="Q30" s="1305"/>
      <c r="R30" s="1305"/>
      <c r="S30" s="1305"/>
      <c r="T30" s="1305"/>
    </row>
    <row r="31" spans="1:20" s="329" customFormat="1" ht="18.75">
      <c r="A31" s="327"/>
      <c r="B31" s="1299"/>
      <c r="C31" s="1299"/>
      <c r="D31" s="1299"/>
      <c r="E31" s="1299"/>
      <c r="F31" s="1299"/>
      <c r="G31" s="328"/>
      <c r="H31" s="328"/>
      <c r="I31" s="328"/>
      <c r="J31" s="328"/>
      <c r="K31" s="328"/>
      <c r="L31" s="1300"/>
      <c r="M31" s="1300"/>
      <c r="N31" s="1300"/>
      <c r="O31" s="1300"/>
      <c r="P31" s="1300"/>
      <c r="Q31" s="1300"/>
      <c r="R31" s="1300"/>
      <c r="S31" s="1300"/>
      <c r="T31" s="1300"/>
    </row>
    <row r="32" spans="1:20" s="329" customFormat="1" ht="18.75">
      <c r="A32" s="327"/>
      <c r="B32" s="328"/>
      <c r="C32" s="328"/>
      <c r="D32" s="328"/>
      <c r="E32" s="328"/>
      <c r="F32" s="328"/>
      <c r="G32" s="328"/>
      <c r="H32" s="328"/>
      <c r="I32" s="328"/>
      <c r="J32" s="328"/>
      <c r="K32" s="328"/>
      <c r="L32" s="328"/>
      <c r="M32" s="328"/>
      <c r="N32" s="328"/>
      <c r="O32" s="328"/>
      <c r="P32" s="328"/>
      <c r="Q32" s="328"/>
      <c r="R32" s="328"/>
      <c r="S32" s="328"/>
      <c r="T32" s="328"/>
    </row>
    <row r="33" spans="1:20" s="329" customFormat="1" ht="18.75">
      <c r="A33" s="327"/>
      <c r="B33" s="1405" t="s">
        <v>399</v>
      </c>
      <c r="C33" s="1405"/>
      <c r="D33" s="1405"/>
      <c r="E33" s="1405"/>
      <c r="F33" s="1405"/>
      <c r="G33" s="330"/>
      <c r="H33" s="330"/>
      <c r="I33" s="330"/>
      <c r="J33" s="330"/>
      <c r="K33" s="330"/>
      <c r="L33" s="330"/>
      <c r="M33" s="330"/>
      <c r="N33" s="330"/>
      <c r="O33" s="1405" t="s">
        <v>399</v>
      </c>
      <c r="P33" s="1405"/>
      <c r="Q33" s="1405"/>
      <c r="R33" s="328"/>
      <c r="S33" s="328"/>
      <c r="T33" s="328"/>
    </row>
    <row r="34" spans="1:20" s="193" customFormat="1" ht="18.75" hidden="1">
      <c r="A34" s="244" t="s">
        <v>47</v>
      </c>
      <c r="B34" s="195"/>
      <c r="C34" s="195"/>
      <c r="D34" s="195"/>
      <c r="E34" s="195"/>
      <c r="F34" s="195"/>
      <c r="G34" s="195"/>
      <c r="H34" s="195"/>
      <c r="I34" s="195"/>
      <c r="J34" s="195"/>
      <c r="K34" s="195"/>
      <c r="L34" s="195"/>
      <c r="M34" s="195"/>
      <c r="N34" s="195"/>
      <c r="O34" s="195"/>
      <c r="P34" s="195"/>
      <c r="Q34" s="195"/>
      <c r="R34" s="195"/>
      <c r="S34" s="195"/>
      <c r="T34" s="195"/>
    </row>
    <row r="35" spans="1:20" s="193" customFormat="1" ht="18" customHeight="1" hidden="1">
      <c r="A35" s="197"/>
      <c r="B35" s="288" t="s">
        <v>310</v>
      </c>
      <c r="C35" s="312"/>
      <c r="D35" s="312"/>
      <c r="E35" s="312"/>
      <c r="F35" s="312"/>
      <c r="G35" s="312"/>
      <c r="H35" s="312"/>
      <c r="I35" s="312"/>
      <c r="J35" s="312"/>
      <c r="K35" s="312"/>
      <c r="L35" s="303"/>
      <c r="M35" s="303"/>
      <c r="N35" s="303"/>
      <c r="O35" s="303"/>
      <c r="P35" s="195"/>
      <c r="Q35" s="195"/>
      <c r="R35" s="195"/>
      <c r="S35" s="195"/>
      <c r="T35" s="195"/>
    </row>
    <row r="36" spans="2:20" s="193" customFormat="1" ht="18.75" hidden="1">
      <c r="B36" s="288" t="s">
        <v>311</v>
      </c>
      <c r="C36" s="195"/>
      <c r="D36" s="195"/>
      <c r="E36" s="195"/>
      <c r="F36" s="195"/>
      <c r="G36" s="195"/>
      <c r="H36" s="195"/>
      <c r="I36" s="195"/>
      <c r="J36" s="195"/>
      <c r="K36" s="195"/>
      <c r="L36" s="195"/>
      <c r="M36" s="195"/>
      <c r="N36" s="195"/>
      <c r="O36" s="195"/>
      <c r="P36" s="195"/>
      <c r="Q36" s="195"/>
      <c r="R36" s="195"/>
      <c r="S36" s="195"/>
      <c r="T36" s="195"/>
    </row>
    <row r="37" spans="2:20" s="193" customFormat="1" ht="18.75" hidden="1">
      <c r="B37" s="245" t="s">
        <v>323</v>
      </c>
      <c r="C37" s="195"/>
      <c r="D37" s="195"/>
      <c r="E37" s="195"/>
      <c r="F37" s="195"/>
      <c r="G37" s="195"/>
      <c r="H37" s="195"/>
      <c r="I37" s="195"/>
      <c r="J37" s="195"/>
      <c r="K37" s="195"/>
      <c r="L37" s="195"/>
      <c r="M37" s="195"/>
      <c r="N37" s="195"/>
      <c r="O37" s="195"/>
      <c r="P37" s="195"/>
      <c r="Q37" s="195"/>
      <c r="R37" s="195"/>
      <c r="S37" s="195"/>
      <c r="T37" s="195"/>
    </row>
    <row r="38" spans="2:20" ht="18">
      <c r="B38" s="191"/>
      <c r="C38" s="191"/>
      <c r="D38" s="191"/>
      <c r="E38" s="191"/>
      <c r="F38" s="191"/>
      <c r="G38" s="191"/>
      <c r="H38" s="191"/>
      <c r="I38" s="191"/>
      <c r="J38" s="191"/>
      <c r="K38" s="191"/>
      <c r="L38" s="191"/>
      <c r="M38" s="191"/>
      <c r="N38" s="191"/>
      <c r="O38" s="191"/>
      <c r="P38" s="191"/>
      <c r="Q38" s="191"/>
      <c r="R38" s="191"/>
      <c r="S38" s="191"/>
      <c r="T38" s="191"/>
    </row>
    <row r="39" spans="2:20" ht="18.75">
      <c r="B39" s="1205" t="s">
        <v>352</v>
      </c>
      <c r="C39" s="1205"/>
      <c r="D39" s="1205"/>
      <c r="E39" s="1205"/>
      <c r="F39" s="1205"/>
      <c r="G39" s="1205"/>
      <c r="H39" s="191"/>
      <c r="I39" s="191"/>
      <c r="J39" s="191"/>
      <c r="K39" s="191"/>
      <c r="L39" s="1206" t="s">
        <v>353</v>
      </c>
      <c r="M39" s="1206"/>
      <c r="N39" s="1206"/>
      <c r="O39" s="1206"/>
      <c r="P39" s="1206"/>
      <c r="Q39" s="1206"/>
      <c r="R39" s="1206"/>
      <c r="S39" s="1206"/>
      <c r="T39" s="1206"/>
    </row>
    <row r="40" spans="2:20" ht="18.75">
      <c r="B40" s="191"/>
      <c r="C40" s="191"/>
      <c r="D40" s="191"/>
      <c r="E40" s="191"/>
      <c r="F40" s="191"/>
      <c r="G40" s="191"/>
      <c r="H40" s="310"/>
      <c r="I40" s="191"/>
      <c r="J40" s="191"/>
      <c r="K40" s="191"/>
      <c r="L40" s="191"/>
      <c r="M40" s="191"/>
      <c r="N40" s="191"/>
      <c r="O40" s="191"/>
      <c r="P40" s="191"/>
      <c r="Q40" s="191"/>
      <c r="R40" s="191"/>
      <c r="S40" s="191"/>
      <c r="T40" s="191"/>
    </row>
    <row r="41" spans="2:20" ht="18">
      <c r="B41" s="191"/>
      <c r="C41" s="191"/>
      <c r="D41" s="191"/>
      <c r="E41" s="191"/>
      <c r="F41" s="191"/>
      <c r="G41" s="191"/>
      <c r="H41" s="191"/>
      <c r="I41" s="191"/>
      <c r="J41" s="191"/>
      <c r="K41" s="191"/>
      <c r="L41" s="191"/>
      <c r="M41" s="191"/>
      <c r="N41" s="191"/>
      <c r="O41" s="191"/>
      <c r="P41" s="191"/>
      <c r="Q41" s="191"/>
      <c r="R41" s="191"/>
      <c r="S41" s="191"/>
      <c r="T41" s="191"/>
    </row>
  </sheetData>
  <sheetProtection/>
  <mergeCells count="41">
    <mergeCell ref="B30:G30"/>
    <mergeCell ref="I9:J9"/>
    <mergeCell ref="A13:B13"/>
    <mergeCell ref="M8:N8"/>
    <mergeCell ref="A11:B11"/>
    <mergeCell ref="S9:T9"/>
    <mergeCell ref="A1:D1"/>
    <mergeCell ref="A2:D2"/>
    <mergeCell ref="O8:T8"/>
    <mergeCell ref="Q9:R9"/>
    <mergeCell ref="G9:H9"/>
    <mergeCell ref="L39:T39"/>
    <mergeCell ref="A4:D4"/>
    <mergeCell ref="C6:D6"/>
    <mergeCell ref="N9:N10"/>
    <mergeCell ref="B39:G39"/>
    <mergeCell ref="B29:G29"/>
    <mergeCell ref="E7:L7"/>
    <mergeCell ref="K9:L9"/>
    <mergeCell ref="E9:E10"/>
    <mergeCell ref="D7:D10"/>
    <mergeCell ref="B33:F33"/>
    <mergeCell ref="L31:T31"/>
    <mergeCell ref="L29:T29"/>
    <mergeCell ref="A14:B14"/>
    <mergeCell ref="A3:D3"/>
    <mergeCell ref="M9:M10"/>
    <mergeCell ref="C7:C10"/>
    <mergeCell ref="O9:P9"/>
    <mergeCell ref="F9:F10"/>
    <mergeCell ref="M7:T7"/>
    <mergeCell ref="F1:O4"/>
    <mergeCell ref="A6:B10"/>
    <mergeCell ref="O33:Q33"/>
    <mergeCell ref="A12:B12"/>
    <mergeCell ref="B31:F31"/>
    <mergeCell ref="L30:T30"/>
    <mergeCell ref="F5:O5"/>
    <mergeCell ref="G8:L8"/>
    <mergeCell ref="E6:T6"/>
    <mergeCell ref="E8:F8"/>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User</cp:lastModifiedBy>
  <cp:lastPrinted>2017-08-11T02:13:04Z</cp:lastPrinted>
  <dcterms:created xsi:type="dcterms:W3CDTF">2004-03-07T02:36:29Z</dcterms:created>
  <dcterms:modified xsi:type="dcterms:W3CDTF">2017-08-11T02:13:27Z</dcterms:modified>
  <cp:category/>
  <cp:version/>
  <cp:contentType/>
  <cp:contentStatus/>
</cp:coreProperties>
</file>